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40" windowWidth="15480" windowHeight="11640" tabRatio="659" activeTab="1"/>
  </bookViews>
  <sheets>
    <sheet name="Scenario A" sheetId="1" r:id="rId1"/>
    <sheet name="Scenario B" sheetId="2" r:id="rId2"/>
    <sheet name="Scenario C" sheetId="3" r:id="rId3"/>
    <sheet name="IPM ref case data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BioIGCCbuilds">'[2]Link'!$I$272:$O$275</definedName>
    <definedName name="BituminousCons">'[4]Global Analysis'!$A$378:$G$404</definedName>
    <definedName name="captyp">#REF!</definedName>
    <definedName name="carbon">'IPM ref case data'!$A$5:$H$8</definedName>
    <definedName name="ccbuilds">'[2]Link'!$A$186:$G$189</definedName>
    <definedName name="CNVCap">#REF!</definedName>
    <definedName name="CNVCapAdd">#REF!</definedName>
    <definedName name="CNVGen">#REF!</definedName>
    <definedName name="co2emission">'[2]Link'!$A$444:$G$447</definedName>
    <definedName name="coalbuilds">'[2]Link'!$A$229:$G$232</definedName>
    <definedName name="coaligccbuilds">'[2]Link'!$A$272:$G$275</definedName>
    <definedName name="ctbuilds">'[2]Link'!$I$186:$O$189</definedName>
    <definedName name="demand">'[1]Link'!$I$530:$O$533</definedName>
    <definedName name="EI">#REF!</definedName>
    <definedName name="ercot">#REF!</definedName>
    <definedName name="fuelcellbuilds">'[2]Link'!$I$315:$O$318</definedName>
    <definedName name="fuels">#REF!</definedName>
    <definedName name="gas">#REF!</definedName>
    <definedName name="hg">'IPM ref case data'!#REF!</definedName>
    <definedName name="Hgemission">'[2]Link'!$I$444:$O$447</definedName>
    <definedName name="hydrobuilds">'[2]Link'!$A$358:$G$361</definedName>
    <definedName name="lfgbuilds">'[2]Link'!$A$315:$G$318</definedName>
    <definedName name="LigniteCons">'[4]Global Analysis'!$I$378:$O$404</definedName>
    <definedName name="loadshares">'[2]Link'!$I$536:$O$548</definedName>
    <definedName name="MAPPCap">#REF!</definedName>
    <definedName name="MAPPCapAdd">#REF!</definedName>
    <definedName name="MAPPGen">#REF!</definedName>
    <definedName name="nox">'IPM ref case data'!#REF!</definedName>
    <definedName name="noxemission">'[2]Link'!$A$487:$G$490</definedName>
    <definedName name="nukeuprate">'[2]Link'!$A$401:$G$404</definedName>
    <definedName name="peakshares">'[2]Link'!$A$536:$G$548</definedName>
    <definedName name="pjm">#REF!</definedName>
    <definedName name="_xlnm.Print_Area" localSheetId="0">'Scenario A'!$A$1:$T$69</definedName>
    <definedName name="_xlnm.Print_Area" localSheetId="1">'Scenario B'!$A$1:$T$69</definedName>
    <definedName name="_xlnm.Print_Area" localSheetId="2">'Scenario C'!$A$1:$T$69</definedName>
    <definedName name="pvbuilds">'[2]Link'!$I$358:$O$361</definedName>
    <definedName name="region">'[3]Regions'!$A:$B</definedName>
    <definedName name="retirements">'[2]Link'!$I$143:$O$146</definedName>
    <definedName name="run2">'[5]Supply PivotTables'!$A$4:$J$10</definedName>
    <definedName name="so2emission">'[2]Link'!$I$487:$O$490</definedName>
    <definedName name="SubBitCons">'[4]Global Analysis'!$A$409:$G$435</definedName>
    <definedName name="sulf">'IPM ref case data'!#REF!</definedName>
    <definedName name="sysCap">#REF!</definedName>
    <definedName name="SysCapAdd">#REF!</definedName>
    <definedName name="sysGen">#REF!</definedName>
    <definedName name="unit">#REF!</definedName>
    <definedName name="wecc">#REF!</definedName>
    <definedName name="wgtcapprice">'[2]Link'!$A$57:$G$60</definedName>
    <definedName name="wgtenergyprice">'[2]Link'!$I$57:$O$60</definedName>
    <definedName name="windbuilds">'[2]Link'!$I$229:$O$232</definedName>
  </definedNames>
  <calcPr fullCalcOnLoad="1"/>
</workbook>
</file>

<file path=xl/sharedStrings.xml><?xml version="1.0" encoding="utf-8"?>
<sst xmlns="http://schemas.openxmlformats.org/spreadsheetml/2006/main" count="116" uniqueCount="53">
  <si>
    <t>RGGI Reference Case Summary (April 2005)</t>
  </si>
  <si>
    <t>IPM Reference Case Results</t>
  </si>
  <si>
    <t>CO2 Emissions [Million Tons]</t>
  </si>
  <si>
    <t>MA</t>
  </si>
  <si>
    <t>CT</t>
  </si>
  <si>
    <t>ME</t>
  </si>
  <si>
    <t>NH</t>
  </si>
  <si>
    <t>RI</t>
  </si>
  <si>
    <t>VT</t>
  </si>
  <si>
    <t>NY</t>
  </si>
  <si>
    <t>DELMARVA</t>
  </si>
  <si>
    <t>NJ</t>
  </si>
  <si>
    <t>Total RGGI Emissions</t>
  </si>
  <si>
    <t>Total Emissions at Affected Plants</t>
  </si>
  <si>
    <t>Total Eastern Interconnect Emissions</t>
  </si>
  <si>
    <t>Total Canadian Emissions</t>
  </si>
  <si>
    <t>50%
OFFSETS</t>
  </si>
  <si>
    <t>AVG REDUCTIONS 
/ YEAR 
(since 2008)</t>
  </si>
  <si>
    <t>CUMMULATIVE ALLOWABLE OFFSETS</t>
  </si>
  <si>
    <t>AVG 
% OF
CAP</t>
  </si>
  <si>
    <t>ANNUAL
% OF
CAP</t>
  </si>
  <si>
    <t>REDUCTIONS NEEDED / OFFSETS ALLOWED</t>
  </si>
  <si>
    <t xml:space="preserve">OFFSETS / YR - </t>
  </si>
  <si>
    <t>Eastern Interconnect without RGGI Emissions</t>
  </si>
  <si>
    <t>AVG ALLOWABLE OFFSETS 
/ YEAR 
(since 2009)</t>
  </si>
  <si>
    <t>RGGI Unit CO2 (actual)</t>
  </si>
  <si>
    <t>CP 1: 2009-2011</t>
  </si>
  <si>
    <t>CP 2: 2012-2014</t>
  </si>
  <si>
    <t>CP 3: 2015-2017</t>
  </si>
  <si>
    <t>CP 4: 2018-2020</t>
  </si>
  <si>
    <t>TONS</t>
  </si>
  <si>
    <t>YEAR</t>
  </si>
  <si>
    <t>ANNUAL PERCENT INCREASE (IPM-Unadjusted</t>
  </si>
  <si>
    <t>PERCENT of CAP</t>
  </si>
  <si>
    <t>RGGI Reference Case Summary (September 2005)</t>
  </si>
  <si>
    <t>BAU (IPM--9/05</t>
  </si>
  <si>
    <t>AVG 2009-2020</t>
  </si>
  <si>
    <t>AVG AVG 2009-2020</t>
  </si>
  <si>
    <t>REDUCTIONS NEEDED</t>
  </si>
  <si>
    <t>CUMMULATIVE REDUCTIONS NEEDED</t>
  </si>
  <si>
    <t>(data for green lines)</t>
  </si>
  <si>
    <t>00-04 AVG
RGGI Unit CO2 (actual)</t>
  </si>
  <si>
    <t>RGGI PACKAGE CAP
(ACTUAL)</t>
  </si>
  <si>
    <t>(data for yellow
line)</t>
  </si>
  <si>
    <t>BAU (Adj 2)
IPM trajectory applied at approx. avg. 2000-2002 emissions</t>
  </si>
  <si>
    <t>BAU
(IPM - 9/05)</t>
  </si>
  <si>
    <t>BAU PERCENT ANNUAL INCREASE (IPM - unadjusted)</t>
  </si>
  <si>
    <t>BAU
(IPM - 4/05)</t>
  </si>
  <si>
    <t>RGGI PACKAGE CAP
(pre-MOU)</t>
  </si>
  <si>
    <t>BAU (Adj 3)
IPM trajectory applied at RGGI start point
(pre-MOU)</t>
  </si>
  <si>
    <t>BAU (Adj 2)
IPM trajectory applied at avg. 2000-2004 emissions</t>
  </si>
  <si>
    <t>BAU (Adj 1)
adjusted to account for model reporting issues</t>
  </si>
  <si>
    <t>BAU (Adj 3)
IPM trajectory applied at 2009 RGGI start point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</si>
</sst>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_);_(@_)"/>
    <numFmt numFmtId="172" formatCode="00000"/>
    <numFmt numFmtId="173" formatCode="0.0"/>
    <numFmt numFmtId="174" formatCode="0.0000"/>
    <numFmt numFmtId="175" formatCode="0.000"/>
    <numFmt numFmtId="176" formatCode="#,##0.0"/>
    <numFmt numFmtId="177" formatCode="#,##0.000_);\(#,##0.000\)"/>
    <numFmt numFmtId="178" formatCode="#,##0.0000_);\(#,##0.0000\)"/>
    <numFmt numFmtId="179" formatCode="_(* #,##0_);_(* \(#,##0\);_(* &quot;-&quot;?_);_(@_)"/>
    <numFmt numFmtId="180" formatCode="[$-409]dddd\,\ mmmm\ dd\,\ yyyy"/>
    <numFmt numFmtId="181" formatCode="#,##0.0_);\(#,##0.0\)"/>
    <numFmt numFmtId="182" formatCode="_(* #,##0.0000000_);_(* \(#,##0.0000000\);_(* &quot;-&quot;???????_);_(@_)"/>
    <numFmt numFmtId="183" formatCode="0.0000000"/>
    <numFmt numFmtId="184" formatCode="0.000000"/>
    <numFmt numFmtId="185" formatCode="0.00000"/>
    <numFmt numFmtId="186" formatCode="\1"/>
    <numFmt numFmtId="187" formatCode="0.0000000000"/>
    <numFmt numFmtId="188" formatCode="0.000000000"/>
    <numFmt numFmtId="189" formatCode="0.0000000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0%;\ 0%;\ \-"/>
    <numFmt numFmtId="193" formatCode="_(* #,##0.0000_);_(* \(#,##0.0000\);_(* &quot;-&quot;????_);_(@_)"/>
    <numFmt numFmtId="194" formatCode="&quot;$&quot;#,##0"/>
    <numFmt numFmtId="195" formatCode="#,##0.000"/>
    <numFmt numFmtId="196" formatCode="0.000%"/>
    <numFmt numFmtId="197" formatCode="#,##0.000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sz val="11"/>
      <name val="Arial"/>
      <family val="0"/>
    </font>
    <font>
      <b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0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0" borderId="2" xfId="0" applyBorder="1" applyAlignment="1">
      <alignment/>
    </xf>
    <xf numFmtId="166" fontId="0" fillId="0" borderId="3" xfId="15" applyNumberFormat="1" applyBorder="1" applyAlignment="1">
      <alignment/>
    </xf>
    <xf numFmtId="166" fontId="0" fillId="0" borderId="4" xfId="15" applyNumberFormat="1" applyBorder="1" applyAlignment="1">
      <alignment/>
    </xf>
    <xf numFmtId="0" fontId="0" fillId="0" borderId="5" xfId="0" applyBorder="1" applyAlignment="1">
      <alignment/>
    </xf>
    <xf numFmtId="166" fontId="0" fillId="0" borderId="0" xfId="15" applyNumberFormat="1" applyBorder="1" applyAlignment="1">
      <alignment/>
    </xf>
    <xf numFmtId="166" fontId="0" fillId="0" borderId="6" xfId="15" applyNumberFormat="1" applyBorder="1" applyAlignment="1">
      <alignment/>
    </xf>
    <xf numFmtId="0" fontId="0" fillId="0" borderId="7" xfId="0" applyBorder="1" applyAlignment="1">
      <alignment/>
    </xf>
    <xf numFmtId="166" fontId="0" fillId="0" borderId="8" xfId="15" applyNumberFormat="1" applyBorder="1" applyAlignment="1">
      <alignment/>
    </xf>
    <xf numFmtId="166" fontId="0" fillId="0" borderId="9" xfId="15" applyNumberFormat="1" applyBorder="1" applyAlignment="1">
      <alignment/>
    </xf>
    <xf numFmtId="0" fontId="0" fillId="0" borderId="10" xfId="0" applyFill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0" fillId="0" borderId="7" xfId="0" applyFill="1" applyBorder="1" applyAlignment="1">
      <alignment/>
    </xf>
    <xf numFmtId="166" fontId="0" fillId="0" borderId="8" xfId="0" applyNumberFormat="1" applyFill="1" applyBorder="1" applyAlignment="1">
      <alignment/>
    </xf>
    <xf numFmtId="166" fontId="0" fillId="0" borderId="9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11" xfId="15" applyNumberFormat="1" applyBorder="1" applyAlignment="1">
      <alignment/>
    </xf>
    <xf numFmtId="166" fontId="0" fillId="0" borderId="12" xfId="15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175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1" fontId="0" fillId="0" borderId="0" xfId="15" applyNumberFormat="1" applyFill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0" fontId="1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10" fontId="3" fillId="0" borderId="1" xfId="0" applyNumberFormat="1" applyFont="1" applyBorder="1" applyAlignment="1">
      <alignment/>
    </xf>
    <xf numFmtId="3" fontId="1" fillId="4" borderId="1" xfId="0" applyNumberFormat="1" applyFont="1" applyFill="1" applyBorder="1" applyAlignment="1">
      <alignment horizontal="center" wrapText="1"/>
    </xf>
    <xf numFmtId="0" fontId="0" fillId="4" borderId="1" xfId="0" applyFill="1" applyBorder="1" applyAlignment="1">
      <alignment horizontal="right"/>
    </xf>
    <xf numFmtId="3" fontId="0" fillId="4" borderId="1" xfId="0" applyNumberFormat="1" applyFill="1" applyBorder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10" fontId="0" fillId="0" borderId="1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3" fontId="0" fillId="0" borderId="0" xfId="0" applyNumberFormat="1" applyBorder="1" applyAlignment="1">
      <alignment/>
    </xf>
    <xf numFmtId="197" fontId="0" fillId="0" borderId="1" xfId="0" applyNumberFormat="1" applyBorder="1" applyAlignment="1">
      <alignment/>
    </xf>
    <xf numFmtId="197" fontId="0" fillId="0" borderId="1" xfId="0" applyNumberFormat="1" applyFont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0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3" fontId="1" fillId="5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3" fontId="1" fillId="6" borderId="1" xfId="0" applyNumberFormat="1" applyFont="1" applyFill="1" applyBorder="1" applyAlignment="1">
      <alignment/>
    </xf>
    <xf numFmtId="3" fontId="0" fillId="7" borderId="1" xfId="0" applyNumberFormat="1" applyFill="1" applyBorder="1" applyAlignment="1">
      <alignment/>
    </xf>
    <xf numFmtId="0" fontId="0" fillId="8" borderId="0" xfId="0" applyFont="1" applyFill="1" applyAlignment="1">
      <alignment/>
    </xf>
    <xf numFmtId="3" fontId="0" fillId="9" borderId="0" xfId="0" applyNumberFormat="1" applyFill="1" applyAlignment="1">
      <alignment/>
    </xf>
    <xf numFmtId="3" fontId="1" fillId="10" borderId="1" xfId="0" applyNumberFormat="1" applyFont="1" applyFill="1" applyBorder="1" applyAlignment="1">
      <alignment/>
    </xf>
    <xf numFmtId="3" fontId="1" fillId="11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185"/>
          <c:w val="0.969"/>
          <c:h val="0.8765"/>
        </c:manualLayout>
      </c:layout>
      <c:lineChart>
        <c:grouping val="standard"/>
        <c:varyColors val="0"/>
        <c:ser>
          <c:idx val="9"/>
          <c:order val="0"/>
          <c:tx>
            <c:v>RGGI CO2 (actual)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'Scenario A'!$A$3:$A$23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'Scenario A'!$S$3:$S$23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v>00-04 AVG (actual)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'Scenario A'!$A$3:$A$23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'Scenario A'!$T$3:$T$23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Cap Level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'Scenario A'!$A$3:$A$23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'Scenario A'!$H$3:$H$23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BAU (Adj 2)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'Scenario A'!$A$3:$A$23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'Scenario A'!$E$3:$E$23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4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'Scenario A'!$F$3:$F$23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5"/>
          <c:tx>
            <c:v>Allowable Offsets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val>
            <c:numRef>
              <c:f>'Scenario A'!$G$3:$G$23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6566199"/>
        <c:axId val="39333744"/>
      </c:lineChart>
      <c:catAx>
        <c:axId val="5656619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333744"/>
        <c:crosses val="autoZero"/>
        <c:auto val="0"/>
        <c:lblOffset val="100"/>
        <c:noMultiLvlLbl val="0"/>
      </c:catAx>
      <c:valAx>
        <c:axId val="39333744"/>
        <c:scaling>
          <c:orientation val="minMax"/>
          <c:max val="170000000"/>
          <c:min val="13000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56566199"/>
        <c:crossesAt val="1"/>
        <c:crossBetween val="between"/>
        <c:dispUnits/>
        <c:majorUnit val="5000000"/>
        <c:minorUnit val="5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"/>
          <c:y val="0.889"/>
          <c:w val="0.89175"/>
          <c:h val="0.10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175"/>
          <c:w val="0.97"/>
          <c:h val="0.8805"/>
        </c:manualLayout>
      </c:layout>
      <c:lineChart>
        <c:grouping val="standard"/>
        <c:varyColors val="0"/>
        <c:ser>
          <c:idx val="9"/>
          <c:order val="0"/>
          <c:tx>
            <c:v>RGGI CO2 (actual)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'Scenario B'!$A$3:$A$23</c:f>
              <c:num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'Scenario B'!$S$3:$S$23</c:f>
              <c:numCache>
                <c:ptCount val="21"/>
                <c:pt idx="0">
                  <c:v>148220254</c:v>
                </c:pt>
                <c:pt idx="1">
                  <c:v>142188168</c:v>
                </c:pt>
                <c:pt idx="2">
                  <c:v>139951780</c:v>
                </c:pt>
                <c:pt idx="3">
                  <c:v>143224098</c:v>
                </c:pt>
                <c:pt idx="4">
                  <c:v>142989924</c:v>
                </c:pt>
              </c:numCache>
            </c:numRef>
          </c:val>
          <c:smooth val="0"/>
        </c:ser>
        <c:ser>
          <c:idx val="7"/>
          <c:order val="1"/>
          <c:tx>
            <c:v>00-04 AVG (actual)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'Scenario B'!$A$3:$A$23</c:f>
              <c:num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'Scenario B'!$T$3:$T$23</c:f>
              <c:numCache>
                <c:ptCount val="21"/>
                <c:pt idx="0">
                  <c:v>143314844.8</c:v>
                </c:pt>
                <c:pt idx="1">
                  <c:v>143314844.8</c:v>
                </c:pt>
                <c:pt idx="2">
                  <c:v>143314844.8</c:v>
                </c:pt>
                <c:pt idx="3">
                  <c:v>143314844.8</c:v>
                </c:pt>
                <c:pt idx="4">
                  <c:v>143314844.8</c:v>
                </c:pt>
              </c:numCache>
            </c:numRef>
          </c:val>
          <c:smooth val="0"/>
        </c:ser>
        <c:ser>
          <c:idx val="4"/>
          <c:order val="2"/>
          <c:tx>
            <c:v>BAU (Adj 2)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'Scenario B'!$A$3:$A$23</c:f>
              <c:num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'Scenario B'!$D$3:$D$23</c:f>
              <c:numCache>
                <c:ptCount val="21"/>
                <c:pt idx="6">
                  <c:v>144000000</c:v>
                </c:pt>
                <c:pt idx="7">
                  <c:v>144300000</c:v>
                </c:pt>
                <c:pt idx="8">
                  <c:v>144600000</c:v>
                </c:pt>
                <c:pt idx="9">
                  <c:v>144900000</c:v>
                </c:pt>
                <c:pt idx="10">
                  <c:v>146000000</c:v>
                </c:pt>
                <c:pt idx="11">
                  <c:v>147100000</c:v>
                </c:pt>
                <c:pt idx="12">
                  <c:v>148200000</c:v>
                </c:pt>
                <c:pt idx="13">
                  <c:v>149200000</c:v>
                </c:pt>
                <c:pt idx="14">
                  <c:v>150200000</c:v>
                </c:pt>
                <c:pt idx="15">
                  <c:v>151200000</c:v>
                </c:pt>
                <c:pt idx="16">
                  <c:v>152400000</c:v>
                </c:pt>
                <c:pt idx="17">
                  <c:v>153600000</c:v>
                </c:pt>
                <c:pt idx="18">
                  <c:v>154800000</c:v>
                </c:pt>
                <c:pt idx="19">
                  <c:v>155833333.33333334</c:v>
                </c:pt>
                <c:pt idx="20">
                  <c:v>156866666.66666666</c:v>
                </c:pt>
              </c:numCache>
            </c:numRef>
          </c:val>
          <c:smooth val="0"/>
        </c:ser>
        <c:ser>
          <c:idx val="0"/>
          <c:order val="3"/>
          <c:tx>
            <c:v>Cap Level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'Scenario B'!$A$3:$A$23</c:f>
              <c:num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'Scenario B'!$H$3:$H$23</c:f>
              <c:numCache>
                <c:ptCount val="21"/>
                <c:pt idx="9">
                  <c:v>150000000</c:v>
                </c:pt>
                <c:pt idx="10">
                  <c:v>150000000</c:v>
                </c:pt>
                <c:pt idx="11">
                  <c:v>150000000</c:v>
                </c:pt>
                <c:pt idx="12">
                  <c:v>150000000</c:v>
                </c:pt>
                <c:pt idx="13">
                  <c:v>150000000</c:v>
                </c:pt>
                <c:pt idx="14">
                  <c:v>150000000</c:v>
                </c:pt>
                <c:pt idx="15">
                  <c:v>150000000</c:v>
                </c:pt>
                <c:pt idx="16">
                  <c:v>147000000</c:v>
                </c:pt>
                <c:pt idx="17">
                  <c:v>144000000</c:v>
                </c:pt>
                <c:pt idx="18">
                  <c:v>141000000</c:v>
                </c:pt>
                <c:pt idx="19">
                  <c:v>138000000</c:v>
                </c:pt>
                <c:pt idx="20">
                  <c:v>135000000</c:v>
                </c:pt>
              </c:numCache>
            </c:numRef>
          </c:val>
          <c:smooth val="0"/>
        </c:ser>
        <c:ser>
          <c:idx val="3"/>
          <c:order val="4"/>
          <c:tx>
            <c:v>BAU (Adj 3)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'Scenario B'!$A$3:$A$23</c:f>
              <c:num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'Scenario B'!$E$3:$E$23</c:f>
              <c:numCache>
                <c:ptCount val="21"/>
                <c:pt idx="6">
                  <c:v>149100000</c:v>
                </c:pt>
                <c:pt idx="7">
                  <c:v>149400000</c:v>
                </c:pt>
                <c:pt idx="8">
                  <c:v>149700000</c:v>
                </c:pt>
                <c:pt idx="9">
                  <c:v>150000000</c:v>
                </c:pt>
                <c:pt idx="10">
                  <c:v>151100000</c:v>
                </c:pt>
                <c:pt idx="11">
                  <c:v>152200000</c:v>
                </c:pt>
                <c:pt idx="12">
                  <c:v>153300000</c:v>
                </c:pt>
                <c:pt idx="13">
                  <c:v>154300000</c:v>
                </c:pt>
                <c:pt idx="14">
                  <c:v>155300000</c:v>
                </c:pt>
                <c:pt idx="15">
                  <c:v>156300000</c:v>
                </c:pt>
                <c:pt idx="16">
                  <c:v>157500000</c:v>
                </c:pt>
                <c:pt idx="17">
                  <c:v>158700000</c:v>
                </c:pt>
                <c:pt idx="18">
                  <c:v>159900000</c:v>
                </c:pt>
                <c:pt idx="19">
                  <c:v>160933333.33333334</c:v>
                </c:pt>
                <c:pt idx="20">
                  <c:v>161966666.66666666</c:v>
                </c:pt>
              </c:numCache>
            </c:numRef>
          </c:val>
          <c:smooth val="0"/>
        </c:ser>
        <c:marker val="1"/>
        <c:axId val="18459377"/>
        <c:axId val="31916666"/>
      </c:lineChart>
      <c:catAx>
        <c:axId val="1845937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916666"/>
        <c:crosses val="autoZero"/>
        <c:auto val="0"/>
        <c:lblOffset val="100"/>
        <c:noMultiLvlLbl val="0"/>
      </c:catAx>
      <c:valAx>
        <c:axId val="31916666"/>
        <c:scaling>
          <c:orientation val="minMax"/>
          <c:max val="170000000"/>
          <c:min val="13000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18459377"/>
        <c:crossesAt val="1"/>
        <c:crossBetween val="between"/>
        <c:dispUnits/>
        <c:majorUnit val="5000000"/>
        <c:minorUnit val="5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"/>
          <c:y val="0.8975"/>
          <c:w val="0.8315"/>
          <c:h val="0.10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1875"/>
          <c:w val="0.96925"/>
          <c:h val="0.87625"/>
        </c:manualLayout>
      </c:layout>
      <c:lineChart>
        <c:grouping val="standard"/>
        <c:varyColors val="0"/>
        <c:ser>
          <c:idx val="9"/>
          <c:order val="0"/>
          <c:tx>
            <c:v>RGGI CO2 (actual)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'Scenario C'!$A$3:$A$23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'Scenario C'!$S$3:$S$23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v>00-04 AVG (actual)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'Scenario C'!$A$3:$A$23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'Scenario C'!$T$3:$T$23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Cap Level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'Scenario C'!$A$3:$A$23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'Scenario C'!$H$3:$H$23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BAU (Adj 3)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'Scenario C'!$A$3:$A$23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'Scenario C'!$E$3:$E$23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4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'Scenario C'!$F$3:$F$23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5"/>
          <c:tx>
            <c:v>Allowable Offsets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val>
            <c:numRef>
              <c:f>'Scenario C'!$G$3:$G$23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8814539"/>
        <c:axId val="35113124"/>
      </c:lineChart>
      <c:catAx>
        <c:axId val="1881453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113124"/>
        <c:crosses val="autoZero"/>
        <c:auto val="0"/>
        <c:lblOffset val="100"/>
        <c:noMultiLvlLbl val="0"/>
      </c:catAx>
      <c:valAx>
        <c:axId val="35113124"/>
        <c:scaling>
          <c:orientation val="minMax"/>
          <c:max val="170000000"/>
          <c:min val="13000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18814539"/>
        <c:crossesAt val="1"/>
        <c:crossBetween val="between"/>
        <c:dispUnits/>
        <c:majorUnit val="5000000"/>
        <c:minorUnit val="5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25"/>
          <c:y val="0.8995"/>
          <c:w val="0.88125"/>
          <c:h val="0.09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28</xdr:row>
      <xdr:rowOff>28575</xdr:rowOff>
    </xdr:from>
    <xdr:to>
      <xdr:col>13</xdr:col>
      <xdr:colOff>1104900</xdr:colOff>
      <xdr:row>68</xdr:row>
      <xdr:rowOff>95250</xdr:rowOff>
    </xdr:to>
    <xdr:graphicFrame>
      <xdr:nvGraphicFramePr>
        <xdr:cNvPr id="1" name="Chart 1"/>
        <xdr:cNvGraphicFramePr/>
      </xdr:nvGraphicFramePr>
      <xdr:xfrm>
        <a:off x="276225" y="5772150"/>
        <a:ext cx="125634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28</xdr:row>
      <xdr:rowOff>28575</xdr:rowOff>
    </xdr:from>
    <xdr:to>
      <xdr:col>13</xdr:col>
      <xdr:colOff>1057275</xdr:colOff>
      <xdr:row>68</xdr:row>
      <xdr:rowOff>95250</xdr:rowOff>
    </xdr:to>
    <xdr:graphicFrame>
      <xdr:nvGraphicFramePr>
        <xdr:cNvPr id="1" name="Chart 1"/>
        <xdr:cNvGraphicFramePr/>
      </xdr:nvGraphicFramePr>
      <xdr:xfrm>
        <a:off x="247650" y="5772150"/>
        <a:ext cx="1254442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28575</xdr:rowOff>
    </xdr:from>
    <xdr:to>
      <xdr:col>13</xdr:col>
      <xdr:colOff>1047750</xdr:colOff>
      <xdr:row>68</xdr:row>
      <xdr:rowOff>95250</xdr:rowOff>
    </xdr:to>
    <xdr:graphicFrame>
      <xdr:nvGraphicFramePr>
        <xdr:cNvPr id="1" name="Chart 1"/>
        <xdr:cNvGraphicFramePr/>
      </xdr:nvGraphicFramePr>
      <xdr:xfrm>
        <a:off x="66675" y="5772150"/>
        <a:ext cx="127158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CF\Projects\CCAP%20-%20CT%20GHG\Results\Global%20-%20CCAP%20CT%20GHG%20Reference%2012_fixed%20RPS%20and%20c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CF\Projects\CCAP%20-%20CT%20GHG\Results\Global%20-%20CCAP%20CT%20GHG%20Reference%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13013\Local%20Settings\Temporary%20Internet%20Files\OLK514\Output-1\Output%20Template_11.10.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14029\My%20Documents\Current%20Work\NETL\Output\MEHC-Results%20Templat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14029\My%20Documents\Current%20Work\NETL\Output\Coal%20Produ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  <sheetName val="Output paste"/>
      <sheetName val="Link"/>
      <sheetName val="Incremental Nuclear"/>
      <sheetName val="Input_Sheet"/>
      <sheetName val="Results - Capacity Additions"/>
      <sheetName val="Results - Emissions"/>
      <sheetName val="Results - Energy Prices"/>
      <sheetName val="Results - Allowance Prices"/>
      <sheetName val="Results - Gen (sep sheet)"/>
    </sheetNames>
    <sheetDataSet>
      <sheetData sheetId="2">
        <row r="530">
          <cell r="I530" t="str">
            <v>Connecticut</v>
          </cell>
          <cell r="J530">
            <v>34538</v>
          </cell>
          <cell r="K530">
            <v>35203</v>
          </cell>
          <cell r="L530">
            <v>36305</v>
          </cell>
          <cell r="M530">
            <v>38571</v>
          </cell>
          <cell r="N530">
            <v>40357</v>
          </cell>
          <cell r="O530">
            <v>41846</v>
          </cell>
        </row>
        <row r="531">
          <cell r="I531" t="str">
            <v>Other NEPOOL</v>
          </cell>
          <cell r="J531">
            <v>99715</v>
          </cell>
          <cell r="K531">
            <v>102736</v>
          </cell>
          <cell r="L531">
            <v>105947</v>
          </cell>
          <cell r="M531">
            <v>112782</v>
          </cell>
          <cell r="N531">
            <v>118008</v>
          </cell>
          <cell r="O531">
            <v>122362</v>
          </cell>
        </row>
        <row r="532">
          <cell r="I532" t="str">
            <v>New York</v>
          </cell>
          <cell r="J532">
            <v>170628</v>
          </cell>
          <cell r="K532">
            <v>174057</v>
          </cell>
          <cell r="L532">
            <v>177556</v>
          </cell>
          <cell r="M532">
            <v>186613</v>
          </cell>
          <cell r="N532">
            <v>196132</v>
          </cell>
          <cell r="O532">
            <v>204095</v>
          </cell>
        </row>
        <row r="533">
          <cell r="I533" t="str">
            <v>PJM</v>
          </cell>
          <cell r="J533">
            <v>282510</v>
          </cell>
          <cell r="K533">
            <v>291048</v>
          </cell>
          <cell r="L533">
            <v>299846</v>
          </cell>
          <cell r="M533">
            <v>323019</v>
          </cell>
          <cell r="N533">
            <v>347983</v>
          </cell>
          <cell r="O533">
            <v>369336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  <sheetName val="Output paste"/>
      <sheetName val="Link"/>
      <sheetName val="Incremental Nuclear"/>
      <sheetName val="Input_Sheet"/>
      <sheetName val="Results - Capacity Additions"/>
      <sheetName val="Results - Emissions"/>
      <sheetName val="Results - Energy Prices"/>
      <sheetName val="Results - Allowance Prices"/>
    </sheetNames>
    <sheetDataSet>
      <sheetData sheetId="2">
        <row r="57">
          <cell r="A57" t="str">
            <v>CT</v>
          </cell>
          <cell r="B57">
            <v>0</v>
          </cell>
          <cell r="C57">
            <v>0</v>
          </cell>
          <cell r="D57">
            <v>44.41</v>
          </cell>
          <cell r="E57">
            <v>61.56</v>
          </cell>
          <cell r="F57">
            <v>70.47</v>
          </cell>
          <cell r="G57">
            <v>60.26</v>
          </cell>
          <cell r="I57" t="str">
            <v>CT</v>
          </cell>
          <cell r="J57">
            <v>27.650111181886615</v>
          </cell>
          <cell r="K57">
            <v>29.133931199045534</v>
          </cell>
          <cell r="L57">
            <v>30.05980140476518</v>
          </cell>
          <cell r="M57">
            <v>34.213771745611986</v>
          </cell>
          <cell r="N57">
            <v>34.99536883316401</v>
          </cell>
          <cell r="O57">
            <v>35.425079577498444</v>
          </cell>
        </row>
        <row r="58">
          <cell r="A58" t="str">
            <v>Other NEPOOL</v>
          </cell>
          <cell r="B58">
            <v>0</v>
          </cell>
          <cell r="C58">
            <v>0</v>
          </cell>
          <cell r="D58">
            <v>44.41</v>
          </cell>
          <cell r="E58">
            <v>61.56</v>
          </cell>
          <cell r="F58">
            <v>70.47</v>
          </cell>
          <cell r="G58">
            <v>60.25999999999999</v>
          </cell>
          <cell r="I58" t="str">
            <v>Other NEPOOL</v>
          </cell>
          <cell r="J58">
            <v>26.457724013438302</v>
          </cell>
          <cell r="K58">
            <v>27.869843482323624</v>
          </cell>
          <cell r="L58">
            <v>28.827616827281567</v>
          </cell>
          <cell r="M58">
            <v>33.109510116862616</v>
          </cell>
          <cell r="N58">
            <v>34.58218425869432</v>
          </cell>
          <cell r="O58">
            <v>35.78831115869306</v>
          </cell>
        </row>
        <row r="59">
          <cell r="A59" t="str">
            <v>NY</v>
          </cell>
          <cell r="B59">
            <v>0</v>
          </cell>
          <cell r="C59">
            <v>0</v>
          </cell>
          <cell r="D59">
            <v>48.98259350001476</v>
          </cell>
          <cell r="E59">
            <v>67.93251446298315</v>
          </cell>
          <cell r="F59">
            <v>66.43938082133785</v>
          </cell>
          <cell r="G59">
            <v>64.67886026897652</v>
          </cell>
          <cell r="I59" t="str">
            <v>NY</v>
          </cell>
          <cell r="J59">
            <v>27.822796258527326</v>
          </cell>
          <cell r="K59">
            <v>29.3459890725452</v>
          </cell>
          <cell r="L59">
            <v>29.933076888418302</v>
          </cell>
          <cell r="M59">
            <v>34.10757749995982</v>
          </cell>
          <cell r="N59">
            <v>34.369053902473844</v>
          </cell>
          <cell r="O59">
            <v>33.60545510669051</v>
          </cell>
        </row>
        <row r="60">
          <cell r="A60" t="str">
            <v>PJM</v>
          </cell>
          <cell r="B60">
            <v>0</v>
          </cell>
          <cell r="C60">
            <v>12.251532624388183</v>
          </cell>
          <cell r="D60">
            <v>60.40861996622832</v>
          </cell>
          <cell r="E60">
            <v>67.03524703806403</v>
          </cell>
          <cell r="F60">
            <v>63.06825860438042</v>
          </cell>
          <cell r="G60">
            <v>60.42188311776998</v>
          </cell>
          <cell r="I60" t="str">
            <v>PJM</v>
          </cell>
          <cell r="J60">
            <v>23.547527379561785</v>
          </cell>
          <cell r="K60">
            <v>25.55243355047965</v>
          </cell>
          <cell r="L60">
            <v>26.6692567184488</v>
          </cell>
          <cell r="M60">
            <v>31.47707887152149</v>
          </cell>
          <cell r="N60">
            <v>31.96533494452315</v>
          </cell>
          <cell r="O60">
            <v>31.48474879242749</v>
          </cell>
        </row>
        <row r="143">
          <cell r="I143" t="str">
            <v>CT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I144" t="str">
            <v>Other NEPOOL</v>
          </cell>
          <cell r="J144">
            <v>2357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I145" t="str">
            <v>NY</v>
          </cell>
          <cell r="J145">
            <v>3246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I146" t="str">
            <v>PJM</v>
          </cell>
          <cell r="J146">
            <v>30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86">
          <cell r="A186" t="str">
            <v>CT</v>
          </cell>
          <cell r="B186">
            <v>0</v>
          </cell>
          <cell r="C186">
            <v>0</v>
          </cell>
          <cell r="D186">
            <v>0</v>
          </cell>
          <cell r="E186">
            <v>643</v>
          </cell>
          <cell r="F186">
            <v>15</v>
          </cell>
          <cell r="G186">
            <v>0</v>
          </cell>
          <cell r="I186" t="str">
            <v>CT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 t="str">
            <v>Other NEPOOL</v>
          </cell>
          <cell r="B187">
            <v>0</v>
          </cell>
          <cell r="C187">
            <v>0</v>
          </cell>
          <cell r="D187">
            <v>0</v>
          </cell>
          <cell r="E187">
            <v>38</v>
          </cell>
          <cell r="F187">
            <v>81</v>
          </cell>
          <cell r="G187">
            <v>17</v>
          </cell>
          <cell r="I187" t="str">
            <v>Other NEPOOL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 t="str">
            <v>NY</v>
          </cell>
          <cell r="B188">
            <v>360</v>
          </cell>
          <cell r="C188">
            <v>0</v>
          </cell>
          <cell r="D188">
            <v>774</v>
          </cell>
          <cell r="E188">
            <v>1835</v>
          </cell>
          <cell r="F188">
            <v>0</v>
          </cell>
          <cell r="G188">
            <v>0</v>
          </cell>
          <cell r="I188" t="str">
            <v>NY</v>
          </cell>
          <cell r="J188">
            <v>0</v>
          </cell>
          <cell r="K188">
            <v>0</v>
          </cell>
          <cell r="L188">
            <v>0</v>
          </cell>
          <cell r="M188">
            <v>269</v>
          </cell>
          <cell r="N188">
            <v>0</v>
          </cell>
          <cell r="O188">
            <v>0</v>
          </cell>
        </row>
        <row r="189">
          <cell r="A189" t="str">
            <v>PJM</v>
          </cell>
          <cell r="B189">
            <v>0</v>
          </cell>
          <cell r="C189">
            <v>0</v>
          </cell>
          <cell r="D189">
            <v>0</v>
          </cell>
          <cell r="E189">
            <v>814</v>
          </cell>
          <cell r="F189">
            <v>0</v>
          </cell>
          <cell r="G189">
            <v>0</v>
          </cell>
          <cell r="I189" t="str">
            <v>PJM</v>
          </cell>
          <cell r="J189">
            <v>0</v>
          </cell>
          <cell r="K189">
            <v>0</v>
          </cell>
          <cell r="L189">
            <v>0</v>
          </cell>
          <cell r="M189">
            <v>1236</v>
          </cell>
          <cell r="N189">
            <v>0</v>
          </cell>
          <cell r="O189">
            <v>0</v>
          </cell>
        </row>
        <row r="229">
          <cell r="A229" t="str">
            <v>CT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I229" t="str">
            <v>CT</v>
          </cell>
          <cell r="J229">
            <v>1</v>
          </cell>
          <cell r="K229">
            <v>2</v>
          </cell>
          <cell r="L229">
            <v>3</v>
          </cell>
          <cell r="M229">
            <v>3</v>
          </cell>
          <cell r="N229">
            <v>3</v>
          </cell>
          <cell r="O229">
            <v>0</v>
          </cell>
        </row>
        <row r="230">
          <cell r="A230" t="str">
            <v>Other NEPOOL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 t="str">
            <v>Other NEPOOL</v>
          </cell>
          <cell r="J230">
            <v>0</v>
          </cell>
          <cell r="K230">
            <v>890</v>
          </cell>
          <cell r="L230">
            <v>947</v>
          </cell>
          <cell r="M230">
            <v>1427</v>
          </cell>
          <cell r="N230">
            <v>824</v>
          </cell>
          <cell r="O230">
            <v>0</v>
          </cell>
        </row>
        <row r="231">
          <cell r="A231" t="str">
            <v>NY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 t="str">
            <v>NY</v>
          </cell>
          <cell r="J231">
            <v>1684</v>
          </cell>
          <cell r="K231">
            <v>784</v>
          </cell>
          <cell r="L231">
            <v>790</v>
          </cell>
          <cell r="M231">
            <v>2022</v>
          </cell>
          <cell r="N231">
            <v>1137</v>
          </cell>
          <cell r="O231">
            <v>0</v>
          </cell>
        </row>
        <row r="232">
          <cell r="A232" t="str">
            <v>PJM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 t="str">
            <v>PJM</v>
          </cell>
          <cell r="J232">
            <v>0</v>
          </cell>
          <cell r="K232">
            <v>216</v>
          </cell>
          <cell r="L232">
            <v>350</v>
          </cell>
          <cell r="M232">
            <v>382</v>
          </cell>
          <cell r="N232">
            <v>0</v>
          </cell>
          <cell r="O232">
            <v>0</v>
          </cell>
        </row>
        <row r="272">
          <cell r="A272" t="str">
            <v>CT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823</v>
          </cell>
          <cell r="G272">
            <v>1331</v>
          </cell>
          <cell r="I272" t="str">
            <v>CT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Other NEPOOL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28</v>
          </cell>
          <cell r="I273" t="str">
            <v>Other NEPOOL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 t="str">
            <v>NY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2381</v>
          </cell>
          <cell r="G274">
            <v>2344</v>
          </cell>
          <cell r="I274" t="str">
            <v>NY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 t="str">
            <v>PJM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7422</v>
          </cell>
          <cell r="G275">
            <v>4687</v>
          </cell>
          <cell r="I275" t="str">
            <v>PJM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315">
          <cell r="A315" t="str">
            <v>CT</v>
          </cell>
          <cell r="B315">
            <v>18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I315" t="str">
            <v>CT</v>
          </cell>
          <cell r="J315">
            <v>0</v>
          </cell>
          <cell r="K315">
            <v>0</v>
          </cell>
          <cell r="L315">
            <v>15</v>
          </cell>
          <cell r="M315">
            <v>15</v>
          </cell>
          <cell r="N315">
            <v>20</v>
          </cell>
          <cell r="O315">
            <v>0</v>
          </cell>
        </row>
        <row r="316">
          <cell r="A316" t="str">
            <v>Other NEPOOL</v>
          </cell>
          <cell r="B316">
            <v>38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I316" t="str">
            <v>Other NEPOOL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 t="str">
            <v>NY</v>
          </cell>
          <cell r="B317">
            <v>50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I317" t="str">
            <v>NY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 t="str">
            <v>PJM</v>
          </cell>
          <cell r="B318">
            <v>171</v>
          </cell>
          <cell r="C318">
            <v>118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I318" t="str">
            <v>PJM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58">
          <cell r="A358" t="str">
            <v>CT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I358" t="str">
            <v>CT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 t="str">
            <v>Other NEPOOL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I359" t="str">
            <v>Other NEPOOL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 t="str">
            <v>NY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I360" t="str">
            <v>NY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 t="str">
            <v>PJM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I361" t="str">
            <v>PJM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401">
          <cell r="A401" t="str">
            <v>CT</v>
          </cell>
          <cell r="B401">
            <v>2143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A402" t="str">
            <v>Other NEPOOL</v>
          </cell>
          <cell r="B402">
            <v>2547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NY</v>
          </cell>
          <cell r="B403">
            <v>5341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PJM</v>
          </cell>
          <cell r="B404">
            <v>6634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44">
          <cell r="A444" t="str">
            <v>CT</v>
          </cell>
          <cell r="B444">
            <v>6.9497</v>
          </cell>
          <cell r="C444">
            <v>6.9785</v>
          </cell>
          <cell r="D444">
            <v>7.271199999999999</v>
          </cell>
          <cell r="E444">
            <v>8.5934</v>
          </cell>
          <cell r="F444">
            <v>11.4449</v>
          </cell>
          <cell r="G444">
            <v>17.8477</v>
          </cell>
          <cell r="I444" t="str">
            <v>CT</v>
          </cell>
          <cell r="J444">
            <v>0.0413</v>
          </cell>
          <cell r="K444">
            <v>0.0413</v>
          </cell>
          <cell r="L444">
            <v>0.0297</v>
          </cell>
          <cell r="M444">
            <v>0.0218</v>
          </cell>
          <cell r="N444">
            <v>0.0215</v>
          </cell>
          <cell r="O444">
            <v>0.0133</v>
          </cell>
        </row>
        <row r="445">
          <cell r="A445" t="str">
            <v>Other NEPOOL</v>
          </cell>
          <cell r="B445">
            <v>32.3818</v>
          </cell>
          <cell r="C445">
            <v>32.6669</v>
          </cell>
          <cell r="D445">
            <v>32.6662</v>
          </cell>
          <cell r="E445">
            <v>32.3745</v>
          </cell>
          <cell r="F445">
            <v>30.922100000000004</v>
          </cell>
          <cell r="G445">
            <v>29.0311</v>
          </cell>
          <cell r="I445" t="str">
            <v>Other NEPOOL</v>
          </cell>
          <cell r="J445">
            <v>0.17679999999999998</v>
          </cell>
          <cell r="K445">
            <v>0.11199999999999999</v>
          </cell>
          <cell r="L445">
            <v>0.09979999999999999</v>
          </cell>
          <cell r="M445">
            <v>0.1317</v>
          </cell>
          <cell r="N445">
            <v>0.11489999999999999</v>
          </cell>
          <cell r="O445">
            <v>0.1155</v>
          </cell>
        </row>
        <row r="446">
          <cell r="A446" t="str">
            <v>NY</v>
          </cell>
          <cell r="B446">
            <v>42.3236</v>
          </cell>
          <cell r="C446">
            <v>42.9157</v>
          </cell>
          <cell r="D446">
            <v>46.336200000000005</v>
          </cell>
          <cell r="E446">
            <v>50.6288</v>
          </cell>
          <cell r="F446">
            <v>58.753699999999995</v>
          </cell>
          <cell r="G446">
            <v>68.6652</v>
          </cell>
          <cell r="I446" t="str">
            <v>NY</v>
          </cell>
          <cell r="J446">
            <v>0.495</v>
          </cell>
          <cell r="K446">
            <v>0.4655</v>
          </cell>
          <cell r="L446">
            <v>0.444</v>
          </cell>
          <cell r="M446">
            <v>0.4575</v>
          </cell>
          <cell r="N446">
            <v>0.3432</v>
          </cell>
          <cell r="O446">
            <v>0.3638</v>
          </cell>
        </row>
        <row r="447">
          <cell r="A447" t="str">
            <v>PJM</v>
          </cell>
          <cell r="B447">
            <v>131.6463</v>
          </cell>
          <cell r="C447">
            <v>136.60379999999998</v>
          </cell>
          <cell r="D447">
            <v>144.19549999999998</v>
          </cell>
          <cell r="E447">
            <v>151.51280000000003</v>
          </cell>
          <cell r="F447">
            <v>187.8688</v>
          </cell>
          <cell r="G447">
            <v>205.0185</v>
          </cell>
          <cell r="I447" t="str">
            <v>PJM</v>
          </cell>
          <cell r="J447">
            <v>2.98</v>
          </cell>
          <cell r="K447">
            <v>1.8705</v>
          </cell>
          <cell r="L447">
            <v>1.3881000000000001</v>
          </cell>
          <cell r="M447">
            <v>1.3540999999999999</v>
          </cell>
          <cell r="N447">
            <v>1.1905000000000001</v>
          </cell>
          <cell r="O447">
            <v>1.0869</v>
          </cell>
        </row>
        <row r="487">
          <cell r="A487" t="str">
            <v>CT</v>
          </cell>
          <cell r="B487">
            <v>3.9071</v>
          </cell>
          <cell r="C487">
            <v>3.9461000000000004</v>
          </cell>
          <cell r="D487">
            <v>4.6136</v>
          </cell>
          <cell r="E487">
            <v>4.3209</v>
          </cell>
          <cell r="F487">
            <v>4.757</v>
          </cell>
          <cell r="G487">
            <v>4.3439000000000005</v>
          </cell>
          <cell r="I487" t="str">
            <v>CT</v>
          </cell>
          <cell r="J487">
            <v>5.5287999999999995</v>
          </cell>
          <cell r="K487">
            <v>5.5287999999999995</v>
          </cell>
          <cell r="L487">
            <v>5.633</v>
          </cell>
          <cell r="M487">
            <v>5.8212</v>
          </cell>
          <cell r="N487">
            <v>5.593</v>
          </cell>
          <cell r="O487">
            <v>2.2968</v>
          </cell>
        </row>
        <row r="488">
          <cell r="A488" t="str">
            <v>Other NEPOOL</v>
          </cell>
          <cell r="B488">
            <v>16.7388</v>
          </cell>
          <cell r="C488">
            <v>14.259799999999998</v>
          </cell>
          <cell r="D488">
            <v>14.213799999999999</v>
          </cell>
          <cell r="E488">
            <v>17.0863</v>
          </cell>
          <cell r="F488">
            <v>16.0486</v>
          </cell>
          <cell r="G488">
            <v>15.4261</v>
          </cell>
          <cell r="I488" t="str">
            <v>Other NEPOOL</v>
          </cell>
          <cell r="J488">
            <v>49.748200000000004</v>
          </cell>
          <cell r="K488">
            <v>21.903799999999997</v>
          </cell>
          <cell r="L488">
            <v>21.369300000000003</v>
          </cell>
          <cell r="M488">
            <v>31.4315</v>
          </cell>
          <cell r="N488">
            <v>28.1614</v>
          </cell>
          <cell r="O488">
            <v>28.6549</v>
          </cell>
        </row>
        <row r="489">
          <cell r="A489" t="str">
            <v>NY</v>
          </cell>
          <cell r="B489">
            <v>55.39240000000001</v>
          </cell>
          <cell r="C489">
            <v>47.3472</v>
          </cell>
          <cell r="D489">
            <v>49.3163</v>
          </cell>
          <cell r="E489">
            <v>49.6703</v>
          </cell>
          <cell r="F489">
            <v>38.2303</v>
          </cell>
          <cell r="G489">
            <v>38.3183</v>
          </cell>
          <cell r="I489" t="str">
            <v>NY</v>
          </cell>
          <cell r="J489">
            <v>126.7533</v>
          </cell>
          <cell r="K489">
            <v>126.1189</v>
          </cell>
          <cell r="L489">
            <v>133.9712</v>
          </cell>
          <cell r="M489">
            <v>139.9911</v>
          </cell>
          <cell r="N489">
            <v>98.5612</v>
          </cell>
          <cell r="O489">
            <v>85.9317</v>
          </cell>
        </row>
        <row r="490">
          <cell r="A490" t="str">
            <v>PJM</v>
          </cell>
          <cell r="B490">
            <v>230.38010000000003</v>
          </cell>
          <cell r="C490">
            <v>115.47389999999999</v>
          </cell>
          <cell r="D490">
            <v>122.8494</v>
          </cell>
          <cell r="E490">
            <v>122.2699</v>
          </cell>
          <cell r="F490">
            <v>96.1571</v>
          </cell>
          <cell r="G490">
            <v>95.15809999999999</v>
          </cell>
          <cell r="I490" t="str">
            <v>PJM</v>
          </cell>
          <cell r="J490">
            <v>627.2096</v>
          </cell>
          <cell r="K490">
            <v>467.3523</v>
          </cell>
          <cell r="L490">
            <v>331.9594</v>
          </cell>
          <cell r="M490">
            <v>327.5894</v>
          </cell>
          <cell r="N490">
            <v>225.7165</v>
          </cell>
          <cell r="O490">
            <v>164.27390000000003</v>
          </cell>
        </row>
        <row r="536">
          <cell r="A536" t="str">
            <v>nep-ct</v>
          </cell>
          <cell r="B536">
            <v>0.4877945534076478</v>
          </cell>
          <cell r="C536">
            <v>0.48766971460238295</v>
          </cell>
          <cell r="D536">
            <v>0.488231338264963</v>
          </cell>
          <cell r="E536">
            <v>0.4887818481429839</v>
          </cell>
          <cell r="F536">
            <v>0.4887946698970321</v>
          </cell>
          <cell r="G536">
            <v>0.48878504672897194</v>
          </cell>
          <cell r="I536" t="str">
            <v>nep-ct</v>
          </cell>
          <cell r="J536">
            <v>0.4963807979616654</v>
          </cell>
          <cell r="K536">
            <v>0.49441808936738346</v>
          </cell>
          <cell r="L536">
            <v>0.4932378460267181</v>
          </cell>
          <cell r="M536">
            <v>0.4920276891965466</v>
          </cell>
          <cell r="N536">
            <v>0.4920336001189385</v>
          </cell>
          <cell r="O536">
            <v>0.49204225015533143</v>
          </cell>
        </row>
        <row r="537">
          <cell r="A537" t="str">
            <v>nep-no</v>
          </cell>
          <cell r="B537">
            <v>0.18244673345562298</v>
          </cell>
          <cell r="C537">
            <v>0.1825990579107786</v>
          </cell>
          <cell r="D537">
            <v>0.18264963012777405</v>
          </cell>
          <cell r="E537">
            <v>0.18265939916339208</v>
          </cell>
          <cell r="F537">
            <v>0.1826771653543307</v>
          </cell>
          <cell r="G537">
            <v>0.18271028037383177</v>
          </cell>
          <cell r="I537" t="str">
            <v>nep-no</v>
          </cell>
          <cell r="J537">
            <v>0.17233192425733973</v>
          </cell>
          <cell r="K537">
            <v>0.17066727267562423</v>
          </cell>
          <cell r="L537">
            <v>0.17055501996970115</v>
          </cell>
          <cell r="M537">
            <v>0.17043893080293485</v>
          </cell>
          <cell r="N537">
            <v>0.1704289218722898</v>
          </cell>
          <cell r="O537">
            <v>0.17043445012665487</v>
          </cell>
        </row>
        <row r="538">
          <cell r="A538" t="str">
            <v>nep-sw</v>
          </cell>
          <cell r="B538">
            <v>0.3297587131367292</v>
          </cell>
          <cell r="C538">
            <v>0.3297312274868385</v>
          </cell>
          <cell r="D538">
            <v>0.32911903160726297</v>
          </cell>
          <cell r="E538">
            <v>0.32855875269362406</v>
          </cell>
          <cell r="F538">
            <v>0.32852816474863716</v>
          </cell>
          <cell r="G538">
            <v>0.32850467289719626</v>
          </cell>
          <cell r="I538" t="str">
            <v>nep-sw</v>
          </cell>
          <cell r="J538">
            <v>0.33128727778099487</v>
          </cell>
          <cell r="K538">
            <v>0.3349146379569923</v>
          </cell>
          <cell r="L538">
            <v>0.33620713400358077</v>
          </cell>
          <cell r="M538">
            <v>0.3375333800005185</v>
          </cell>
          <cell r="N538">
            <v>0.3375374780087717</v>
          </cell>
          <cell r="O538">
            <v>0.33752329971801365</v>
          </cell>
        </row>
        <row r="539">
          <cell r="A539" t="str">
            <v>nep-ea</v>
          </cell>
          <cell r="B539">
            <v>0.46624329811045756</v>
          </cell>
          <cell r="C539">
            <v>0.46769137425422186</v>
          </cell>
          <cell r="D539">
            <v>0.4698351971748087</v>
          </cell>
          <cell r="E539">
            <v>0.47175819104753114</v>
          </cell>
          <cell r="F539">
            <v>0.47170893054024254</v>
          </cell>
          <cell r="G539">
            <v>0.4717366339160393</v>
          </cell>
          <cell r="I539" t="str">
            <v>nep-ea</v>
          </cell>
          <cell r="J539">
            <v>0.45503685503685504</v>
          </cell>
          <cell r="K539">
            <v>0.4565682915433733</v>
          </cell>
          <cell r="L539">
            <v>0.4586161005030817</v>
          </cell>
          <cell r="M539">
            <v>0.4606054157578337</v>
          </cell>
          <cell r="N539">
            <v>0.46060436580570807</v>
          </cell>
          <cell r="O539">
            <v>0.4606005132312319</v>
          </cell>
        </row>
        <row r="540">
          <cell r="A540" t="str">
            <v>nep-me</v>
          </cell>
          <cell r="B540">
            <v>0.0982770287855916</v>
          </cell>
          <cell r="C540">
            <v>0.0977854181413692</v>
          </cell>
          <cell r="D540">
            <v>0.09750833823817932</v>
          </cell>
          <cell r="E540">
            <v>0.09723119520073835</v>
          </cell>
          <cell r="F540">
            <v>0.09724366041896361</v>
          </cell>
          <cell r="G540">
            <v>0.09723108332270002</v>
          </cell>
          <cell r="I540" t="str">
            <v>nep-me</v>
          </cell>
          <cell r="J540">
            <v>0.1174748031890889</v>
          </cell>
          <cell r="K540">
            <v>0.11686263821834605</v>
          </cell>
          <cell r="L540">
            <v>0.11650164704994007</v>
          </cell>
          <cell r="M540">
            <v>0.11600255359897856</v>
          </cell>
          <cell r="N540">
            <v>0.1160090841298895</v>
          </cell>
          <cell r="O540">
            <v>0.11600823785162061</v>
          </cell>
        </row>
        <row r="541">
          <cell r="A541" t="str">
            <v>nep-se</v>
          </cell>
          <cell r="B541">
            <v>0.2636510332621935</v>
          </cell>
          <cell r="C541">
            <v>0.2634745677014865</v>
          </cell>
          <cell r="D541">
            <v>0.26285069648813025</v>
          </cell>
          <cell r="E541">
            <v>0.26229810798338715</v>
          </cell>
          <cell r="F541">
            <v>0.26231532524807055</v>
          </cell>
          <cell r="G541">
            <v>0.2623027519033644</v>
          </cell>
          <cell r="I541" t="str">
            <v>nep-se</v>
          </cell>
          <cell r="J541">
            <v>0.24484781627638771</v>
          </cell>
          <cell r="K541">
            <v>0.24475354306182837</v>
          </cell>
          <cell r="L541">
            <v>0.24416925443854</v>
          </cell>
          <cell r="M541">
            <v>0.243726835842599</v>
          </cell>
          <cell r="N541">
            <v>0.24372076469391907</v>
          </cell>
          <cell r="O541">
            <v>0.24371945538647619</v>
          </cell>
        </row>
        <row r="542">
          <cell r="A542" t="str">
            <v>nep-wm</v>
          </cell>
          <cell r="B542">
            <v>0.17182863984175734</v>
          </cell>
          <cell r="C542">
            <v>0.17104863990292243</v>
          </cell>
          <cell r="D542">
            <v>0.1698057680988817</v>
          </cell>
          <cell r="E542">
            <v>0.16871250576834332</v>
          </cell>
          <cell r="F542">
            <v>0.16873208379272325</v>
          </cell>
          <cell r="G542">
            <v>0.1687295308578963</v>
          </cell>
          <cell r="I542" t="str">
            <v>nep-wm</v>
          </cell>
          <cell r="J542">
            <v>0.18264052549766835</v>
          </cell>
          <cell r="K542">
            <v>0.18181552717645227</v>
          </cell>
          <cell r="L542">
            <v>0.18071299800843818</v>
          </cell>
          <cell r="M542">
            <v>0.17966519480058873</v>
          </cell>
          <cell r="N542">
            <v>0.17966578537048336</v>
          </cell>
          <cell r="O542">
            <v>0.17967179353067128</v>
          </cell>
        </row>
        <row r="543">
          <cell r="A543" t="str">
            <v>dnsny </v>
          </cell>
          <cell r="B543">
            <v>0.5447788811447604</v>
          </cell>
          <cell r="C543">
            <v>0.5447441467535602</v>
          </cell>
          <cell r="D543">
            <v>0.5447648847300528</v>
          </cell>
          <cell r="E543">
            <v>0.5447863391185266</v>
          </cell>
          <cell r="F543">
            <v>0.5447713801862828</v>
          </cell>
          <cell r="G543">
            <v>0.5447661018666261</v>
          </cell>
          <cell r="I543" t="str">
            <v>dnsny </v>
          </cell>
          <cell r="J543">
            <v>0.5263790233724829</v>
          </cell>
          <cell r="K543">
            <v>0.5263792895430807</v>
          </cell>
          <cell r="L543">
            <v>0.5263804095609272</v>
          </cell>
          <cell r="M543">
            <v>0.52637811942362</v>
          </cell>
          <cell r="N543">
            <v>0.5263801929312911</v>
          </cell>
          <cell r="O543">
            <v>0.5263774222788408</v>
          </cell>
        </row>
        <row r="544">
          <cell r="A544" t="str">
            <v>lilco </v>
          </cell>
          <cell r="B544">
            <v>0.14923209769937704</v>
          </cell>
          <cell r="C544">
            <v>0.14925778421433744</v>
          </cell>
          <cell r="D544">
            <v>0.14924580098591966</v>
          </cell>
          <cell r="E544">
            <v>0.1492412174058858</v>
          </cell>
          <cell r="F544">
            <v>0.14923793395427604</v>
          </cell>
          <cell r="G544">
            <v>0.14925410936352354</v>
          </cell>
          <cell r="I544" t="str">
            <v>lilco </v>
          </cell>
          <cell r="J544">
            <v>0.11880816747544365</v>
          </cell>
          <cell r="K544">
            <v>0.1188059084093142</v>
          </cell>
          <cell r="L544">
            <v>0.11880758746536305</v>
          </cell>
          <cell r="M544">
            <v>0.11880737140499321</v>
          </cell>
          <cell r="N544">
            <v>0.11880774172496074</v>
          </cell>
          <cell r="O544">
            <v>0.11880741811411352</v>
          </cell>
        </row>
        <row r="545">
          <cell r="A545" t="str">
            <v>upsny </v>
          </cell>
          <cell r="B545">
            <v>0.3059890211558626</v>
          </cell>
          <cell r="C545">
            <v>0.30599806903210236</v>
          </cell>
          <cell r="D545">
            <v>0.30598931428402754</v>
          </cell>
          <cell r="E545">
            <v>0.3059724434755876</v>
          </cell>
          <cell r="F545">
            <v>0.30599068585944117</v>
          </cell>
          <cell r="G545">
            <v>0.3059797887698503</v>
          </cell>
          <cell r="I545" t="str">
            <v>upsny </v>
          </cell>
          <cell r="J545">
            <v>0.3548128091520735</v>
          </cell>
          <cell r="K545">
            <v>0.35481480204760507</v>
          </cell>
          <cell r="L545">
            <v>0.3548120029737097</v>
          </cell>
          <cell r="M545">
            <v>0.3548145091713868</v>
          </cell>
          <cell r="N545">
            <v>0.3548120653437481</v>
          </cell>
          <cell r="O545">
            <v>0.35481515960704574</v>
          </cell>
        </row>
        <row r="546">
          <cell r="A546" t="str">
            <v>pjme  </v>
          </cell>
          <cell r="B546">
            <v>0.5089871508278356</v>
          </cell>
          <cell r="C546">
            <v>0.5089967956618191</v>
          </cell>
          <cell r="D546">
            <v>0.5089972539187092</v>
          </cell>
          <cell r="E546">
            <v>0.5089960927653139</v>
          </cell>
          <cell r="F546">
            <v>0.5090009459361129</v>
          </cell>
          <cell r="G546">
            <v>0.5089935672434751</v>
          </cell>
          <cell r="I546" t="str">
            <v>pjme  </v>
          </cell>
          <cell r="J546">
            <v>0.48729248522176205</v>
          </cell>
          <cell r="K546">
            <v>0.48729075616393175</v>
          </cell>
          <cell r="L546">
            <v>0.48729014227303347</v>
          </cell>
          <cell r="M546">
            <v>0.4872902213182506</v>
          </cell>
          <cell r="N546">
            <v>0.4872910458269513</v>
          </cell>
          <cell r="O546">
            <v>0.4872907054822709</v>
          </cell>
        </row>
        <row r="547">
          <cell r="A547" t="str">
            <v>pjms  </v>
          </cell>
          <cell r="B547">
            <v>0.23999054940661177</v>
          </cell>
          <cell r="C547">
            <v>0.23999084474805452</v>
          </cell>
          <cell r="D547">
            <v>0.23998362585068822</v>
          </cell>
          <cell r="E547">
            <v>0.23997983362742625</v>
          </cell>
          <cell r="F547">
            <v>0.2399912682820345</v>
          </cell>
          <cell r="G547">
            <v>0.23999235171198732</v>
          </cell>
          <cell r="I547" t="str">
            <v>pjms  </v>
          </cell>
          <cell r="J547">
            <v>0.23531556405083007</v>
          </cell>
          <cell r="K547">
            <v>0.23531513702207196</v>
          </cell>
          <cell r="L547">
            <v>0.23531746296432168</v>
          </cell>
          <cell r="M547">
            <v>0.23531742714824824</v>
          </cell>
          <cell r="N547">
            <v>0.23531609302753295</v>
          </cell>
          <cell r="O547">
            <v>0.23531689301882297</v>
          </cell>
        </row>
        <row r="548">
          <cell r="A548" t="str">
            <v>pjmw  </v>
          </cell>
          <cell r="B548">
            <v>0.25102229976555257</v>
          </cell>
          <cell r="C548">
            <v>0.2510123595901264</v>
          </cell>
          <cell r="D548">
            <v>0.2510191202306026</v>
          </cell>
          <cell r="E548">
            <v>0.25102407360725987</v>
          </cell>
          <cell r="F548">
            <v>0.25100778578185257</v>
          </cell>
          <cell r="G548">
            <v>0.2510140810445376</v>
          </cell>
          <cell r="I548" t="str">
            <v>pjmw  </v>
          </cell>
          <cell r="J548">
            <v>0.27739195072740785</v>
          </cell>
          <cell r="K548">
            <v>0.27739410681399634</v>
          </cell>
          <cell r="L548">
            <v>0.2773923947626448</v>
          </cell>
          <cell r="M548">
            <v>0.2773923515335011</v>
          </cell>
          <cell r="N548">
            <v>0.27739286114551576</v>
          </cell>
          <cell r="O548">
            <v>0.27739240149890615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uel Consumption"/>
      <sheetName val="Allowance Prices"/>
      <sheetName val="Emissions"/>
      <sheetName val="Prices"/>
      <sheetName val="Generation"/>
      <sheetName val="Capacity Typle LKP"/>
      <sheetName val="ACC"/>
      <sheetName val="Regions"/>
      <sheetName val="Emit"/>
      <sheetName val="Output"/>
    </sheetNames>
    <sheetDataSet>
      <sheetData sheetId="7">
        <row r="1">
          <cell r="A1" t="str">
            <v>cin</v>
          </cell>
          <cell r="B1" t="str">
            <v>None</v>
          </cell>
        </row>
        <row r="2">
          <cell r="A2" t="str">
            <v>c-nb</v>
          </cell>
          <cell r="B2" t="str">
            <v>None</v>
          </cell>
        </row>
        <row r="3">
          <cell r="A3" t="str">
            <v>c-ns</v>
          </cell>
          <cell r="B3" t="str">
            <v>None</v>
          </cell>
        </row>
        <row r="4">
          <cell r="A4" t="str">
            <v>cnv</v>
          </cell>
          <cell r="B4" t="str">
            <v>None</v>
          </cell>
        </row>
        <row r="5">
          <cell r="A5" t="str">
            <v>c-ont</v>
          </cell>
          <cell r="B5" t="str">
            <v>None</v>
          </cell>
        </row>
        <row r="6">
          <cell r="A6" t="str">
            <v>c-pq</v>
          </cell>
          <cell r="B6" t="str">
            <v>None</v>
          </cell>
        </row>
        <row r="7">
          <cell r="A7" t="str">
            <v>entrg</v>
          </cell>
          <cell r="B7" t="str">
            <v>None</v>
          </cell>
        </row>
        <row r="8">
          <cell r="A8" t="str">
            <v>ercot</v>
          </cell>
          <cell r="B8" t="str">
            <v>None</v>
          </cell>
        </row>
        <row r="9">
          <cell r="A9" t="str">
            <v>fe</v>
          </cell>
          <cell r="B9" t="str">
            <v>None</v>
          </cell>
        </row>
        <row r="10">
          <cell r="A10" t="str">
            <v>florida</v>
          </cell>
          <cell r="B10" t="str">
            <v>None</v>
          </cell>
        </row>
        <row r="11">
          <cell r="A11" t="str">
            <v>gate</v>
          </cell>
          <cell r="B11" t="str">
            <v>None</v>
          </cell>
        </row>
        <row r="12">
          <cell r="A12" t="str">
            <v>grimes</v>
          </cell>
          <cell r="B12" t="str">
            <v>None</v>
          </cell>
        </row>
        <row r="13">
          <cell r="A13" t="str">
            <v>ilmo</v>
          </cell>
          <cell r="B13" t="str">
            <v>None</v>
          </cell>
        </row>
        <row r="14">
          <cell r="A14" t="str">
            <v>ky</v>
          </cell>
          <cell r="B14" t="str">
            <v>None</v>
          </cell>
        </row>
        <row r="15">
          <cell r="A15" t="str">
            <v>mapp</v>
          </cell>
          <cell r="B15" t="str">
            <v>EI</v>
          </cell>
        </row>
        <row r="16">
          <cell r="A16" t="str">
            <v>mecs</v>
          </cell>
          <cell r="B16" t="str">
            <v>EI</v>
          </cell>
        </row>
        <row r="17">
          <cell r="A17" t="str">
            <v>n-boston</v>
          </cell>
          <cell r="B17" t="str">
            <v>MA</v>
          </cell>
        </row>
        <row r="18">
          <cell r="A18" t="str">
            <v>n-cnma</v>
          </cell>
          <cell r="B18" t="str">
            <v>MA</v>
          </cell>
        </row>
        <row r="19">
          <cell r="A19" t="str">
            <v>n-ct</v>
          </cell>
          <cell r="B19" t="str">
            <v>CT</v>
          </cell>
        </row>
        <row r="20">
          <cell r="A20" t="str">
            <v>n-me</v>
          </cell>
          <cell r="B20" t="str">
            <v>ME</v>
          </cell>
        </row>
        <row r="21">
          <cell r="A21" t="str">
            <v>n-nh</v>
          </cell>
          <cell r="B21" t="str">
            <v>NH</v>
          </cell>
        </row>
        <row r="22">
          <cell r="A22" t="str">
            <v>n-ri</v>
          </cell>
          <cell r="B22" t="str">
            <v>RI</v>
          </cell>
        </row>
        <row r="23">
          <cell r="A23" t="str">
            <v>n-sema</v>
          </cell>
          <cell r="B23" t="str">
            <v>MA</v>
          </cell>
        </row>
        <row r="24">
          <cell r="A24" t="str">
            <v>n-swct</v>
          </cell>
          <cell r="B24" t="str">
            <v>CT</v>
          </cell>
        </row>
        <row r="25">
          <cell r="A25" t="str">
            <v>n-vt</v>
          </cell>
          <cell r="B25" t="str">
            <v>VT</v>
          </cell>
        </row>
        <row r="26">
          <cell r="A26" t="str">
            <v>n-wma</v>
          </cell>
          <cell r="B26" t="str">
            <v>MA</v>
          </cell>
        </row>
        <row r="27">
          <cell r="A27" t="str">
            <v>ny-cap</v>
          </cell>
          <cell r="B27" t="str">
            <v>NY</v>
          </cell>
        </row>
        <row r="28">
          <cell r="A28" t="str">
            <v>ny-dnsny</v>
          </cell>
          <cell r="B28" t="str">
            <v>NY</v>
          </cell>
        </row>
        <row r="29">
          <cell r="A29" t="str">
            <v>ny-lilco</v>
          </cell>
          <cell r="B29" t="str">
            <v>NY</v>
          </cell>
        </row>
        <row r="30">
          <cell r="A30" t="str">
            <v>ny-nyc</v>
          </cell>
          <cell r="B30" t="str">
            <v>NY</v>
          </cell>
        </row>
        <row r="31">
          <cell r="A31" t="str">
            <v>ny-upsny</v>
          </cell>
          <cell r="B31" t="str">
            <v>NY</v>
          </cell>
        </row>
        <row r="32">
          <cell r="A32" t="str">
            <v>pacnw</v>
          </cell>
          <cell r="B32" t="str">
            <v>None</v>
          </cell>
        </row>
        <row r="33">
          <cell r="A33" t="str">
            <v>p-aep</v>
          </cell>
          <cell r="B33" t="str">
            <v>EI</v>
          </cell>
        </row>
        <row r="34">
          <cell r="A34" t="str">
            <v>p-apsdqe</v>
          </cell>
          <cell r="B34" t="str">
            <v>EI</v>
          </cell>
        </row>
        <row r="35">
          <cell r="A35" t="str">
            <v>p-comed</v>
          </cell>
          <cell r="B35" t="str">
            <v>EI</v>
          </cell>
        </row>
        <row r="36">
          <cell r="A36" t="str">
            <v>p-delm</v>
          </cell>
          <cell r="B36" t="str">
            <v>DELMARVA</v>
          </cell>
        </row>
        <row r="37">
          <cell r="A37" t="str">
            <v>p-nj</v>
          </cell>
          <cell r="B37" t="str">
            <v>NJ</v>
          </cell>
        </row>
        <row r="38">
          <cell r="A38" t="str">
            <v>p-peco</v>
          </cell>
          <cell r="B38" t="str">
            <v>EI</v>
          </cell>
        </row>
        <row r="39">
          <cell r="A39" t="str">
            <v>p-s</v>
          </cell>
          <cell r="B39" t="str">
            <v>EI</v>
          </cell>
        </row>
        <row r="40">
          <cell r="A40" t="str">
            <v>p-viep</v>
          </cell>
          <cell r="B40" t="str">
            <v>EI</v>
          </cell>
        </row>
        <row r="41">
          <cell r="A41" t="str">
            <v>p-w</v>
          </cell>
          <cell r="B41" t="str">
            <v>EI</v>
          </cell>
        </row>
        <row r="42">
          <cell r="A42" t="str">
            <v>southrn</v>
          </cell>
          <cell r="B42" t="str">
            <v>EI</v>
          </cell>
        </row>
        <row r="43">
          <cell r="A43" t="str">
            <v>spp</v>
          </cell>
          <cell r="B43" t="str">
            <v>None</v>
          </cell>
        </row>
        <row r="44">
          <cell r="A44" t="str">
            <v>tva</v>
          </cell>
          <cell r="B44" t="str">
            <v>EI</v>
          </cell>
        </row>
        <row r="45">
          <cell r="A45" t="str">
            <v>vacar</v>
          </cell>
          <cell r="B45" t="str">
            <v>EI</v>
          </cell>
        </row>
        <row r="46">
          <cell r="A46" t="str">
            <v>wscr</v>
          </cell>
          <cell r="B46" t="str">
            <v>None</v>
          </cell>
        </row>
        <row r="47">
          <cell r="A47" t="str">
            <v>wums</v>
          </cell>
          <cell r="B47" t="str">
            <v>EI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lobal Analysis"/>
      <sheetName val="Summary Tables"/>
      <sheetName val="Capacity"/>
      <sheetName val="Capacity Additions"/>
      <sheetName val="Generation"/>
    </sheetNames>
    <sheetDataSet>
      <sheetData sheetId="0">
        <row r="378">
          <cell r="A378" t="str">
            <v>aps-dq</v>
          </cell>
          <cell r="B378">
            <v>619.4</v>
          </cell>
          <cell r="C378">
            <v>637.1</v>
          </cell>
          <cell r="D378">
            <v>645.9</v>
          </cell>
          <cell r="E378">
            <v>649.5</v>
          </cell>
          <cell r="F378">
            <v>741.6</v>
          </cell>
          <cell r="G378">
            <v>748.4</v>
          </cell>
          <cell r="I378" t="str">
            <v>aps-dq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>cnv   </v>
          </cell>
          <cell r="B379">
            <v>188</v>
          </cell>
          <cell r="C379">
            <v>188</v>
          </cell>
          <cell r="D379">
            <v>188</v>
          </cell>
          <cell r="E379">
            <v>188</v>
          </cell>
          <cell r="F379">
            <v>188</v>
          </cell>
          <cell r="G379">
            <v>188</v>
          </cell>
          <cell r="I379" t="str">
            <v>cnv   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>dnsny </v>
          </cell>
          <cell r="B380">
            <v>54.7</v>
          </cell>
          <cell r="C380">
            <v>57.4</v>
          </cell>
          <cell r="D380">
            <v>57.4</v>
          </cell>
          <cell r="E380">
            <v>56.3</v>
          </cell>
          <cell r="F380">
            <v>57.4</v>
          </cell>
          <cell r="G380">
            <v>57.4</v>
          </cell>
          <cell r="I380" t="str">
            <v>dnsny 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>entrg </v>
          </cell>
          <cell r="B381">
            <v>293.6</v>
          </cell>
          <cell r="C381">
            <v>449.7</v>
          </cell>
          <cell r="D381">
            <v>560.8</v>
          </cell>
          <cell r="E381">
            <v>560.8</v>
          </cell>
          <cell r="F381">
            <v>646.9</v>
          </cell>
          <cell r="G381">
            <v>646.9</v>
          </cell>
          <cell r="I381" t="str">
            <v>entrg 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 t="str">
            <v>ercot </v>
          </cell>
          <cell r="B382">
            <v>46.1</v>
          </cell>
          <cell r="C382">
            <v>46.1</v>
          </cell>
          <cell r="D382">
            <v>46.1</v>
          </cell>
          <cell r="E382">
            <v>46.1</v>
          </cell>
          <cell r="F382">
            <v>46.1</v>
          </cell>
          <cell r="G382">
            <v>46.1</v>
          </cell>
          <cell r="I382" t="str">
            <v>ercot </v>
          </cell>
          <cell r="J382">
            <v>691.4</v>
          </cell>
          <cell r="K382">
            <v>691.4</v>
          </cell>
          <cell r="L382">
            <v>507</v>
          </cell>
          <cell r="M382">
            <v>474.5</v>
          </cell>
          <cell r="N382">
            <v>382.5</v>
          </cell>
          <cell r="O382">
            <v>270.4</v>
          </cell>
        </row>
        <row r="383">
          <cell r="A383" t="str">
            <v>florid</v>
          </cell>
          <cell r="B383">
            <v>833.4</v>
          </cell>
          <cell r="C383">
            <v>796.1</v>
          </cell>
          <cell r="D383">
            <v>796.1</v>
          </cell>
          <cell r="E383">
            <v>784.1</v>
          </cell>
          <cell r="F383">
            <v>1402</v>
          </cell>
          <cell r="G383">
            <v>1378.5</v>
          </cell>
          <cell r="I383" t="str">
            <v>florid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 t="str">
            <v>gate  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I384" t="str">
            <v>gate  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 t="str">
            <v>grimes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I385" t="str">
            <v>grimes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 t="str">
            <v>lilco 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I386" t="str">
            <v>lilco 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 t="str">
            <v>mano  </v>
          </cell>
          <cell r="B387">
            <v>317.6</v>
          </cell>
          <cell r="C387">
            <v>587.3</v>
          </cell>
          <cell r="D387">
            <v>754.5</v>
          </cell>
          <cell r="E387">
            <v>817.7</v>
          </cell>
          <cell r="F387">
            <v>1319.2</v>
          </cell>
          <cell r="G387">
            <v>1504.8</v>
          </cell>
          <cell r="I387" t="str">
            <v>mano  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>mapp  </v>
          </cell>
          <cell r="B388">
            <v>62.4</v>
          </cell>
          <cell r="C388">
            <v>63.4</v>
          </cell>
          <cell r="D388">
            <v>84</v>
          </cell>
          <cell r="E388">
            <v>97.5</v>
          </cell>
          <cell r="F388">
            <v>380.6</v>
          </cell>
          <cell r="G388">
            <v>552.5</v>
          </cell>
          <cell r="I388" t="str">
            <v>mapp  </v>
          </cell>
          <cell r="J388">
            <v>311.8</v>
          </cell>
          <cell r="K388">
            <v>276.7</v>
          </cell>
          <cell r="L388">
            <v>267.2</v>
          </cell>
          <cell r="M388">
            <v>236.3</v>
          </cell>
          <cell r="N388">
            <v>218.4</v>
          </cell>
          <cell r="O388">
            <v>212.8</v>
          </cell>
        </row>
        <row r="389">
          <cell r="A389" t="str">
            <v>mecs  </v>
          </cell>
          <cell r="B389">
            <v>102.6</v>
          </cell>
          <cell r="C389">
            <v>174.9</v>
          </cell>
          <cell r="D389">
            <v>515.4</v>
          </cell>
          <cell r="E389">
            <v>565.7</v>
          </cell>
          <cell r="F389">
            <v>744.4</v>
          </cell>
          <cell r="G389">
            <v>763.3</v>
          </cell>
          <cell r="I389" t="str">
            <v>mecs  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 t="str">
            <v>nepp  </v>
          </cell>
          <cell r="B390">
            <v>167.3</v>
          </cell>
          <cell r="C390">
            <v>167.1</v>
          </cell>
          <cell r="D390">
            <v>167</v>
          </cell>
          <cell r="E390">
            <v>154.4</v>
          </cell>
          <cell r="F390">
            <v>151.8</v>
          </cell>
          <cell r="G390">
            <v>147.4</v>
          </cell>
          <cell r="I390" t="str">
            <v>nepp  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 t="str">
            <v>pacnw </v>
          </cell>
          <cell r="B391">
            <v>108.9</v>
          </cell>
          <cell r="C391">
            <v>108.9</v>
          </cell>
          <cell r="D391">
            <v>108.9</v>
          </cell>
          <cell r="E391">
            <v>108.7</v>
          </cell>
          <cell r="F391">
            <v>108.9</v>
          </cell>
          <cell r="G391">
            <v>108.9</v>
          </cell>
          <cell r="I391" t="str">
            <v>pacnw 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 t="str">
            <v>pjme  </v>
          </cell>
          <cell r="B392">
            <v>251.8</v>
          </cell>
          <cell r="C392">
            <v>133.5</v>
          </cell>
          <cell r="D392">
            <v>130.1</v>
          </cell>
          <cell r="E392">
            <v>128.5</v>
          </cell>
          <cell r="F392">
            <v>128.6</v>
          </cell>
          <cell r="G392">
            <v>128.5</v>
          </cell>
          <cell r="I392" t="str">
            <v>pjme  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 t="str">
            <v>pjms  </v>
          </cell>
          <cell r="B393">
            <v>333.2</v>
          </cell>
          <cell r="C393">
            <v>347.3</v>
          </cell>
          <cell r="D393">
            <v>359.2</v>
          </cell>
          <cell r="E393">
            <v>360.2</v>
          </cell>
          <cell r="F393">
            <v>365.9</v>
          </cell>
          <cell r="G393">
            <v>365.3</v>
          </cell>
          <cell r="I393" t="str">
            <v>pjms  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 t="str">
            <v>pjmw  </v>
          </cell>
          <cell r="B394">
            <v>759.5</v>
          </cell>
          <cell r="C394">
            <v>777.1</v>
          </cell>
          <cell r="D394">
            <v>791.9</v>
          </cell>
          <cell r="E394">
            <v>786.4</v>
          </cell>
          <cell r="F394">
            <v>798.5</v>
          </cell>
          <cell r="G394">
            <v>797.6</v>
          </cell>
          <cell r="I394" t="str">
            <v>pjmw  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 t="str">
            <v>soecar</v>
          </cell>
          <cell r="B395">
            <v>3852.4</v>
          </cell>
          <cell r="C395">
            <v>4239.6</v>
          </cell>
          <cell r="D395">
            <v>4403.9</v>
          </cell>
          <cell r="E395">
            <v>4452.1</v>
          </cell>
          <cell r="F395">
            <v>4508.7</v>
          </cell>
          <cell r="G395">
            <v>4484.5</v>
          </cell>
          <cell r="I395" t="str">
            <v>soecar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 t="str">
            <v>southr</v>
          </cell>
          <cell r="B396">
            <v>1898.8</v>
          </cell>
          <cell r="C396">
            <v>1934.2</v>
          </cell>
          <cell r="D396">
            <v>1941.5</v>
          </cell>
          <cell r="E396">
            <v>1918.2</v>
          </cell>
          <cell r="F396">
            <v>1912.5</v>
          </cell>
          <cell r="G396">
            <v>1902.6</v>
          </cell>
          <cell r="I396" t="str">
            <v>southr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 t="str">
            <v>spp   </v>
          </cell>
          <cell r="B397">
            <v>177.7</v>
          </cell>
          <cell r="C397">
            <v>179.8</v>
          </cell>
          <cell r="D397">
            <v>304.8</v>
          </cell>
          <cell r="E397">
            <v>303.3</v>
          </cell>
          <cell r="F397">
            <v>303.7</v>
          </cell>
          <cell r="G397">
            <v>407.7</v>
          </cell>
          <cell r="I397" t="str">
            <v>spp   </v>
          </cell>
          <cell r="J397">
            <v>94.2</v>
          </cell>
          <cell r="K397">
            <v>94.2</v>
          </cell>
          <cell r="L397">
            <v>90.2</v>
          </cell>
          <cell r="M397">
            <v>51.8</v>
          </cell>
          <cell r="N397">
            <v>48.3</v>
          </cell>
          <cell r="O397">
            <v>48.3</v>
          </cell>
        </row>
        <row r="398">
          <cell r="A398" t="str">
            <v>tva   </v>
          </cell>
          <cell r="B398">
            <v>1050.8</v>
          </cell>
          <cell r="C398">
            <v>1078.9</v>
          </cell>
          <cell r="D398">
            <v>1148.3</v>
          </cell>
          <cell r="E398">
            <v>1148.2</v>
          </cell>
          <cell r="F398">
            <v>1146.5</v>
          </cell>
          <cell r="G398">
            <v>1126.5</v>
          </cell>
          <cell r="I398" t="str">
            <v>tva   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 t="str">
            <v>upsny </v>
          </cell>
          <cell r="B399">
            <v>221.7</v>
          </cell>
          <cell r="C399">
            <v>228.3</v>
          </cell>
          <cell r="D399">
            <v>233.8</v>
          </cell>
          <cell r="E399">
            <v>233.1</v>
          </cell>
          <cell r="F399">
            <v>236.1</v>
          </cell>
          <cell r="G399">
            <v>237.7</v>
          </cell>
          <cell r="I399" t="str">
            <v>upsny 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 t="str">
            <v>vacar </v>
          </cell>
          <cell r="B400">
            <v>1294</v>
          </cell>
          <cell r="C400">
            <v>1227.4</v>
          </cell>
          <cell r="D400">
            <v>1312.7</v>
          </cell>
          <cell r="E400">
            <v>1297.6</v>
          </cell>
          <cell r="F400">
            <v>1804.6</v>
          </cell>
          <cell r="G400">
            <v>1795.5</v>
          </cell>
          <cell r="I400" t="str">
            <v>vacar 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 t="str">
            <v>viep  </v>
          </cell>
          <cell r="B401">
            <v>438.5</v>
          </cell>
          <cell r="C401">
            <v>448.9</v>
          </cell>
          <cell r="D401">
            <v>450</v>
          </cell>
          <cell r="E401">
            <v>450</v>
          </cell>
          <cell r="F401">
            <v>504.6</v>
          </cell>
          <cell r="G401">
            <v>504.1</v>
          </cell>
          <cell r="I401" t="str">
            <v>viep  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 t="str">
            <v>wscr  </v>
          </cell>
          <cell r="B402">
            <v>1262.7</v>
          </cell>
          <cell r="C402">
            <v>1262.7</v>
          </cell>
          <cell r="D402">
            <v>1262.8</v>
          </cell>
          <cell r="E402">
            <v>1262.8</v>
          </cell>
          <cell r="F402">
            <v>1262.8</v>
          </cell>
          <cell r="G402">
            <v>1266.2</v>
          </cell>
          <cell r="I402" t="str">
            <v>wscr  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 t="str">
            <v>wums  </v>
          </cell>
          <cell r="B403">
            <v>121.8</v>
          </cell>
          <cell r="C403">
            <v>170.7</v>
          </cell>
          <cell r="D403">
            <v>191.3</v>
          </cell>
          <cell r="E403">
            <v>203</v>
          </cell>
          <cell r="F403">
            <v>362.7</v>
          </cell>
          <cell r="G403">
            <v>458.5</v>
          </cell>
          <cell r="I403" t="str">
            <v>wums  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 t="str">
            <v>System</v>
          </cell>
          <cell r="B404">
            <v>14456.7</v>
          </cell>
          <cell r="C404">
            <v>15304.9</v>
          </cell>
          <cell r="D404">
            <v>16454.3</v>
          </cell>
          <cell r="E404">
            <v>16572.4</v>
          </cell>
          <cell r="F404">
            <v>19122.4</v>
          </cell>
          <cell r="G404">
            <v>19617.2</v>
          </cell>
          <cell r="I404" t="str">
            <v>System</v>
          </cell>
          <cell r="J404">
            <v>1097.4</v>
          </cell>
          <cell r="K404">
            <v>1062.3</v>
          </cell>
          <cell r="L404">
            <v>864.4</v>
          </cell>
          <cell r="M404">
            <v>762.6</v>
          </cell>
          <cell r="N404">
            <v>649.3</v>
          </cell>
          <cell r="O404">
            <v>531.5</v>
          </cell>
        </row>
        <row r="409">
          <cell r="A409" t="str">
            <v>aps-dq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A410" t="str">
            <v>cnv   </v>
          </cell>
          <cell r="B410">
            <v>3.9</v>
          </cell>
          <cell r="C410">
            <v>3.9</v>
          </cell>
          <cell r="D410">
            <v>3.9</v>
          </cell>
          <cell r="E410">
            <v>3.9</v>
          </cell>
          <cell r="F410">
            <v>3.9</v>
          </cell>
          <cell r="G410">
            <v>3.9</v>
          </cell>
        </row>
        <row r="411">
          <cell r="A411" t="str">
            <v>dnsny 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A412" t="str">
            <v>entrg </v>
          </cell>
          <cell r="B412">
            <v>353.5</v>
          </cell>
          <cell r="C412">
            <v>197.3</v>
          </cell>
          <cell r="D412">
            <v>86.2</v>
          </cell>
          <cell r="E412">
            <v>86.2</v>
          </cell>
          <cell r="F412">
            <v>0</v>
          </cell>
          <cell r="G412">
            <v>0</v>
          </cell>
        </row>
        <row r="413">
          <cell r="A413" t="str">
            <v>ercot </v>
          </cell>
          <cell r="B413">
            <v>451.1</v>
          </cell>
          <cell r="C413">
            <v>451.1</v>
          </cell>
          <cell r="D413">
            <v>635.5</v>
          </cell>
          <cell r="E413">
            <v>631.4</v>
          </cell>
          <cell r="F413">
            <v>626.3</v>
          </cell>
          <cell r="G413">
            <v>620.6</v>
          </cell>
        </row>
        <row r="414">
          <cell r="A414" t="str">
            <v>florid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A415" t="str">
            <v>gate  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A416" t="str">
            <v>grimes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A417" t="str">
            <v>lilco 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A418" t="str">
            <v>mano  </v>
          </cell>
          <cell r="B418">
            <v>1115.9</v>
          </cell>
          <cell r="C418">
            <v>912.3</v>
          </cell>
          <cell r="D418">
            <v>775.6</v>
          </cell>
          <cell r="E418">
            <v>692.4</v>
          </cell>
          <cell r="F418">
            <v>215.3</v>
          </cell>
          <cell r="G418">
            <v>19.9</v>
          </cell>
        </row>
        <row r="419">
          <cell r="A419" t="str">
            <v>mapp  </v>
          </cell>
          <cell r="B419">
            <v>1194.6</v>
          </cell>
          <cell r="C419">
            <v>1271.4</v>
          </cell>
          <cell r="D419">
            <v>1267.4</v>
          </cell>
          <cell r="E419">
            <v>1294.1</v>
          </cell>
          <cell r="F419">
            <v>1012.4</v>
          </cell>
          <cell r="G419">
            <v>806.3</v>
          </cell>
        </row>
        <row r="420">
          <cell r="A420" t="str">
            <v>mecs  </v>
          </cell>
          <cell r="B420">
            <v>665.7</v>
          </cell>
          <cell r="C420">
            <v>590.2</v>
          </cell>
          <cell r="D420">
            <v>270.8</v>
          </cell>
          <cell r="E420">
            <v>226.2</v>
          </cell>
          <cell r="F420">
            <v>52.7</v>
          </cell>
          <cell r="G420">
            <v>15.2</v>
          </cell>
        </row>
        <row r="421">
          <cell r="A421" t="str">
            <v>nepp  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A422" t="str">
            <v>pacnw </v>
          </cell>
          <cell r="B422">
            <v>41.2</v>
          </cell>
          <cell r="C422">
            <v>41.2</v>
          </cell>
          <cell r="D422">
            <v>41.2</v>
          </cell>
          <cell r="E422">
            <v>38.5</v>
          </cell>
          <cell r="F422">
            <v>41.2</v>
          </cell>
          <cell r="G422">
            <v>58.1</v>
          </cell>
        </row>
        <row r="423">
          <cell r="A423" t="str">
            <v>pjme  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A424" t="str">
            <v>pjms  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A425" t="str">
            <v>pjmw  </v>
          </cell>
          <cell r="B425">
            <v>1.5</v>
          </cell>
          <cell r="C425">
            <v>1.5</v>
          </cell>
          <cell r="D425">
            <v>1.5</v>
          </cell>
          <cell r="E425">
            <v>1.5</v>
          </cell>
          <cell r="F425">
            <v>1.5</v>
          </cell>
          <cell r="G425">
            <v>1.5</v>
          </cell>
        </row>
        <row r="426">
          <cell r="A426" t="str">
            <v>soecar</v>
          </cell>
          <cell r="B426">
            <v>349.7</v>
          </cell>
          <cell r="C426">
            <v>111.6</v>
          </cell>
          <cell r="D426">
            <v>31.8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southr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A428" t="str">
            <v>spp   </v>
          </cell>
          <cell r="B428">
            <v>1190.6</v>
          </cell>
          <cell r="C428">
            <v>1201.6</v>
          </cell>
          <cell r="D428">
            <v>1068.3</v>
          </cell>
          <cell r="E428">
            <v>1055.2</v>
          </cell>
          <cell r="F428">
            <v>1043.6</v>
          </cell>
          <cell r="G428">
            <v>842.1</v>
          </cell>
        </row>
        <row r="429">
          <cell r="A429" t="str">
            <v>tva   </v>
          </cell>
          <cell r="B429">
            <v>47.5</v>
          </cell>
          <cell r="C429">
            <v>52.3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A430" t="str">
            <v>upsny </v>
          </cell>
          <cell r="B430">
            <v>1.7</v>
          </cell>
          <cell r="C430">
            <v>1.7</v>
          </cell>
          <cell r="D430">
            <v>1.7</v>
          </cell>
          <cell r="E430">
            <v>1.7</v>
          </cell>
          <cell r="F430">
            <v>1.7</v>
          </cell>
          <cell r="G430">
            <v>1.7</v>
          </cell>
        </row>
        <row r="431">
          <cell r="A431" t="str">
            <v>vacar 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A432" t="str">
            <v>viep  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A433" t="str">
            <v>wscr  </v>
          </cell>
          <cell r="B433">
            <v>783</v>
          </cell>
          <cell r="C433">
            <v>783.9</v>
          </cell>
          <cell r="D433">
            <v>794.7</v>
          </cell>
          <cell r="E433">
            <v>810.5</v>
          </cell>
          <cell r="F433">
            <v>1425.3</v>
          </cell>
          <cell r="G433">
            <v>1408.9</v>
          </cell>
        </row>
        <row r="434">
          <cell r="A434" t="str">
            <v>wums  </v>
          </cell>
          <cell r="B434">
            <v>393.8</v>
          </cell>
          <cell r="C434">
            <v>329.5</v>
          </cell>
          <cell r="D434">
            <v>317.8</v>
          </cell>
          <cell r="E434">
            <v>316.4</v>
          </cell>
          <cell r="F434">
            <v>147.1</v>
          </cell>
          <cell r="G434">
            <v>57.4</v>
          </cell>
        </row>
        <row r="435">
          <cell r="A435" t="str">
            <v>System</v>
          </cell>
          <cell r="B435">
            <v>6593.7</v>
          </cell>
          <cell r="C435">
            <v>5949.4</v>
          </cell>
          <cell r="D435">
            <v>5296.4</v>
          </cell>
          <cell r="E435">
            <v>5157.9</v>
          </cell>
          <cell r="F435">
            <v>4571.2</v>
          </cell>
          <cell r="G435">
            <v>3835.6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p Supply Chart"/>
      <sheetName val="4P Supply Chart Data"/>
      <sheetName val="Supply PivotTables"/>
      <sheetName val="Sheet1"/>
      <sheetName val=" 4p Coal Supply"/>
      <sheetName val="lkp"/>
      <sheetName val="Hist"/>
    </sheetNames>
    <sheetDataSet>
      <sheetData sheetId="2">
        <row r="4">
          <cell r="A4" t="str">
            <v>Aggregate Supply Region</v>
          </cell>
          <cell r="B4">
            <v>2005</v>
          </cell>
          <cell r="C4">
            <v>2008</v>
          </cell>
          <cell r="D4">
            <v>2011</v>
          </cell>
          <cell r="E4">
            <v>2015</v>
          </cell>
          <cell r="F4">
            <v>2020</v>
          </cell>
          <cell r="G4">
            <v>2025</v>
          </cell>
          <cell r="H4">
            <v>2030</v>
          </cell>
          <cell r="I4">
            <v>2045</v>
          </cell>
          <cell r="J4">
            <v>2050</v>
          </cell>
        </row>
        <row r="5">
          <cell r="A5" t="str">
            <v>Central Appalachia</v>
          </cell>
          <cell r="B5">
            <v>80.06</v>
          </cell>
          <cell r="C5">
            <v>83.85</v>
          </cell>
          <cell r="D5">
            <v>52.02</v>
          </cell>
          <cell r="E5">
            <v>48.42</v>
          </cell>
          <cell r="F5">
            <v>44.09</v>
          </cell>
          <cell r="G5">
            <v>32.6</v>
          </cell>
          <cell r="H5">
            <v>29.23</v>
          </cell>
          <cell r="I5">
            <v>29.35</v>
          </cell>
          <cell r="J5">
            <v>47.63</v>
          </cell>
        </row>
        <row r="6">
          <cell r="A6" t="str">
            <v>Midwest</v>
          </cell>
          <cell r="B6">
            <v>63.46</v>
          </cell>
          <cell r="C6">
            <v>76.84</v>
          </cell>
          <cell r="D6">
            <v>77.59</v>
          </cell>
          <cell r="E6">
            <v>90.54</v>
          </cell>
          <cell r="F6">
            <v>114.11</v>
          </cell>
          <cell r="G6">
            <v>151.45</v>
          </cell>
          <cell r="H6">
            <v>158.33</v>
          </cell>
          <cell r="I6">
            <v>177.86</v>
          </cell>
          <cell r="J6">
            <v>192.7</v>
          </cell>
        </row>
        <row r="7">
          <cell r="A7" t="str">
            <v>No. &amp; So. Appalachia</v>
          </cell>
          <cell r="B7">
            <v>113.99</v>
          </cell>
          <cell r="C7">
            <v>132.79</v>
          </cell>
          <cell r="D7">
            <v>151.67</v>
          </cell>
          <cell r="E7">
            <v>189.98</v>
          </cell>
          <cell r="F7">
            <v>251.2</v>
          </cell>
          <cell r="G7">
            <v>301.82</v>
          </cell>
          <cell r="H7">
            <v>378.21</v>
          </cell>
          <cell r="I7">
            <v>342.89</v>
          </cell>
          <cell r="J7">
            <v>336.94</v>
          </cell>
        </row>
        <row r="8">
          <cell r="A8" t="str">
            <v>Other</v>
          </cell>
          <cell r="B8">
            <v>107.93</v>
          </cell>
          <cell r="C8">
            <v>97.85</v>
          </cell>
          <cell r="D8">
            <v>103.58</v>
          </cell>
          <cell r="E8">
            <v>102.54</v>
          </cell>
          <cell r="F8">
            <v>78.45</v>
          </cell>
          <cell r="G8">
            <v>80.48</v>
          </cell>
          <cell r="H8">
            <v>86.04</v>
          </cell>
          <cell r="I8">
            <v>88.92</v>
          </cell>
          <cell r="J8">
            <v>94.52</v>
          </cell>
        </row>
        <row r="9">
          <cell r="A9" t="str">
            <v>Rockies</v>
          </cell>
          <cell r="B9">
            <v>68.32</v>
          </cell>
          <cell r="C9">
            <v>55.39</v>
          </cell>
          <cell r="D9">
            <v>73.84</v>
          </cell>
          <cell r="E9">
            <v>76.44</v>
          </cell>
          <cell r="F9">
            <v>82.96</v>
          </cell>
          <cell r="G9">
            <v>66.16</v>
          </cell>
          <cell r="H9">
            <v>51.5</v>
          </cell>
          <cell r="I9">
            <v>19.55</v>
          </cell>
          <cell r="J9">
            <v>17.27</v>
          </cell>
        </row>
        <row r="10">
          <cell r="A10" t="str">
            <v>Wyoming &amp; Montana</v>
          </cell>
          <cell r="B10">
            <v>163.17</v>
          </cell>
          <cell r="C10">
            <v>164.63</v>
          </cell>
          <cell r="D10">
            <v>188.3</v>
          </cell>
          <cell r="E10">
            <v>257.75</v>
          </cell>
          <cell r="F10">
            <v>285.31</v>
          </cell>
          <cell r="G10">
            <v>392.82</v>
          </cell>
          <cell r="H10">
            <v>478.11</v>
          </cell>
          <cell r="I10">
            <v>872.44</v>
          </cell>
          <cell r="J10">
            <v>962.87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5" width="13.7109375" style="0" customWidth="1"/>
    <col min="6" max="8" width="13.140625" style="0" customWidth="1"/>
    <col min="9" max="10" width="17.7109375" style="0" customWidth="1"/>
    <col min="11" max="11" width="17.7109375" style="3" customWidth="1"/>
    <col min="12" max="12" width="2.00390625" style="0" customWidth="1"/>
    <col min="13" max="13" width="17.7109375" style="3" customWidth="1"/>
    <col min="14" max="14" width="17.7109375" style="0" customWidth="1"/>
    <col min="15" max="15" width="19.7109375" style="0" customWidth="1"/>
    <col min="16" max="17" width="12.7109375" style="0" customWidth="1"/>
    <col min="18" max="18" width="2.421875" style="0" customWidth="1"/>
    <col min="19" max="19" width="16.7109375" style="0" customWidth="1"/>
    <col min="20" max="20" width="14.00390625" style="0" customWidth="1"/>
    <col min="21" max="16384" width="8.8515625" style="0" customWidth="1"/>
  </cols>
  <sheetData>
    <row r="1" spans="1:17" ht="15.75">
      <c r="A1" s="57" t="s">
        <v>21</v>
      </c>
      <c r="K1" s="38"/>
      <c r="L1" s="39"/>
      <c r="M1" s="39"/>
      <c r="N1" s="40"/>
      <c r="O1" s="41"/>
      <c r="P1" s="42"/>
      <c r="Q1" s="42"/>
    </row>
    <row r="2" spans="1:20" ht="105" customHeight="1">
      <c r="A2" s="45" t="s">
        <v>31</v>
      </c>
      <c r="B2" s="50" t="s">
        <v>45</v>
      </c>
      <c r="C2" s="50" t="s">
        <v>51</v>
      </c>
      <c r="D2" s="50" t="s">
        <v>46</v>
      </c>
      <c r="E2" s="79" t="s">
        <v>50</v>
      </c>
      <c r="F2" s="89" t="s">
        <v>43</v>
      </c>
      <c r="G2" s="90" t="s">
        <v>40</v>
      </c>
      <c r="H2" s="50" t="s">
        <v>42</v>
      </c>
      <c r="I2" s="48" t="s">
        <v>38</v>
      </c>
      <c r="J2" s="47" t="s">
        <v>39</v>
      </c>
      <c r="K2" s="47" t="s">
        <v>17</v>
      </c>
      <c r="L2" s="39"/>
      <c r="M2" s="54" t="s">
        <v>16</v>
      </c>
      <c r="N2" s="47" t="s">
        <v>18</v>
      </c>
      <c r="O2" s="47" t="s">
        <v>24</v>
      </c>
      <c r="P2" s="51" t="s">
        <v>20</v>
      </c>
      <c r="Q2" s="51" t="s">
        <v>19</v>
      </c>
      <c r="S2" s="51" t="s">
        <v>25</v>
      </c>
      <c r="T2" s="51" t="s">
        <v>41</v>
      </c>
    </row>
    <row r="3" spans="1:20" ht="12.75">
      <c r="A3" s="7">
        <v>2000</v>
      </c>
      <c r="B3" s="5"/>
      <c r="C3" s="5"/>
      <c r="D3" s="5"/>
      <c r="E3" s="85"/>
      <c r="F3" s="78"/>
      <c r="G3" s="80"/>
      <c r="H3" s="81"/>
      <c r="I3" s="2"/>
      <c r="J3" s="7"/>
      <c r="K3" s="6"/>
      <c r="L3" s="1"/>
      <c r="M3" s="55"/>
      <c r="N3" s="7"/>
      <c r="O3" s="6"/>
      <c r="P3" s="52"/>
      <c r="Q3" s="52"/>
      <c r="S3" s="2">
        <v>148220254</v>
      </c>
      <c r="T3" s="2">
        <f>AVERAGE(S3:S7)</f>
        <v>143314844.8</v>
      </c>
    </row>
    <row r="4" spans="1:20" ht="12.75">
      <c r="A4" s="7">
        <v>2001</v>
      </c>
      <c r="B4" s="5"/>
      <c r="C4" s="5"/>
      <c r="D4" s="5"/>
      <c r="E4" s="5"/>
      <c r="F4" s="5"/>
      <c r="G4" s="5"/>
      <c r="H4" s="2"/>
      <c r="I4" s="2"/>
      <c r="J4" s="7"/>
      <c r="K4" s="6"/>
      <c r="M4" s="55"/>
      <c r="N4" s="7"/>
      <c r="O4" s="6"/>
      <c r="P4" s="52"/>
      <c r="Q4" s="52"/>
      <c r="S4" s="2">
        <v>142188168</v>
      </c>
      <c r="T4" s="2">
        <f>+$T$3</f>
        <v>143314844.8</v>
      </c>
    </row>
    <row r="5" spans="1:20" ht="12.75">
      <c r="A5" s="7">
        <v>2002</v>
      </c>
      <c r="B5" s="5"/>
      <c r="C5" s="5"/>
      <c r="D5" s="5"/>
      <c r="E5" s="5"/>
      <c r="F5" s="5"/>
      <c r="G5" s="5"/>
      <c r="H5" s="2"/>
      <c r="I5" s="2"/>
      <c r="J5" s="7"/>
      <c r="K5" s="6"/>
      <c r="M5" s="55"/>
      <c r="N5" s="7"/>
      <c r="O5" s="6"/>
      <c r="P5" s="52"/>
      <c r="Q5" s="52"/>
      <c r="S5" s="2">
        <v>139951780</v>
      </c>
      <c r="T5" s="2">
        <f>+$T$3</f>
        <v>143314844.8</v>
      </c>
    </row>
    <row r="6" spans="1:20" ht="12.75">
      <c r="A6" s="7">
        <v>2003</v>
      </c>
      <c r="B6" s="5"/>
      <c r="C6" s="5"/>
      <c r="D6" s="5"/>
      <c r="E6" s="5"/>
      <c r="F6" s="5"/>
      <c r="G6" s="5"/>
      <c r="H6" s="2"/>
      <c r="I6" s="2"/>
      <c r="J6" s="7"/>
      <c r="K6" s="6"/>
      <c r="M6" s="55"/>
      <c r="N6" s="7"/>
      <c r="O6" s="6"/>
      <c r="P6" s="52"/>
      <c r="Q6" s="52"/>
      <c r="S6" s="2">
        <v>143224098</v>
      </c>
      <c r="T6" s="2">
        <f>+$T$3</f>
        <v>143314844.8</v>
      </c>
    </row>
    <row r="7" spans="1:20" ht="12.75">
      <c r="A7" s="7">
        <v>2004</v>
      </c>
      <c r="B7" s="5"/>
      <c r="C7" s="5"/>
      <c r="D7" s="5"/>
      <c r="E7" s="5"/>
      <c r="F7" s="5"/>
      <c r="G7" s="5"/>
      <c r="H7" s="2"/>
      <c r="I7" s="2"/>
      <c r="J7" s="7"/>
      <c r="K7" s="6"/>
      <c r="M7" s="55"/>
      <c r="N7" s="7"/>
      <c r="O7" s="6"/>
      <c r="P7" s="52"/>
      <c r="Q7" s="52"/>
      <c r="S7" s="2">
        <v>142989924</v>
      </c>
      <c r="T7" s="2">
        <f>+$T$3</f>
        <v>143314844.8</v>
      </c>
    </row>
    <row r="8" spans="1:20" ht="12.75">
      <c r="A8" s="7">
        <v>2005</v>
      </c>
      <c r="B8" s="5"/>
      <c r="C8" s="5"/>
      <c r="D8" s="5"/>
      <c r="E8" s="5"/>
      <c r="F8" s="5"/>
      <c r="G8" s="5"/>
      <c r="H8" s="2"/>
      <c r="I8" s="2"/>
      <c r="J8" s="7"/>
      <c r="K8" s="6"/>
      <c r="M8" s="55"/>
      <c r="N8" s="7"/>
      <c r="O8" s="6"/>
      <c r="P8" s="52"/>
      <c r="Q8" s="52"/>
      <c r="S8" s="83"/>
      <c r="T8" s="82"/>
    </row>
    <row r="9" spans="1:17" ht="12.75">
      <c r="A9" s="7">
        <v>2006</v>
      </c>
      <c r="B9" s="5">
        <v>123700000</v>
      </c>
      <c r="C9" s="5">
        <f>B9+13900000</f>
        <v>137600000</v>
      </c>
      <c r="D9" s="5"/>
      <c r="E9" s="46">
        <f>+B9+19614845</f>
        <v>143314845</v>
      </c>
      <c r="F9" s="5"/>
      <c r="G9" s="5"/>
      <c r="H9" s="2"/>
      <c r="I9" s="2"/>
      <c r="J9" s="7"/>
      <c r="K9" s="6"/>
      <c r="M9" s="55"/>
      <c r="N9" s="7"/>
      <c r="O9" s="6"/>
      <c r="P9" s="52"/>
      <c r="Q9" s="52"/>
    </row>
    <row r="10" spans="1:17" ht="12.75">
      <c r="A10" s="7">
        <v>2007</v>
      </c>
      <c r="B10" s="2">
        <f>+B9+(B12-B9)*1/3</f>
        <v>123933333.33333333</v>
      </c>
      <c r="C10" s="2">
        <f>B10+13900000</f>
        <v>137833333.3333333</v>
      </c>
      <c r="D10" s="67">
        <f>(B10-B9)/B9</f>
        <v>0.001886284020479615</v>
      </c>
      <c r="E10" s="46">
        <f>E9*1.0019</f>
        <v>143587143.2055</v>
      </c>
      <c r="F10" s="2"/>
      <c r="G10" s="2"/>
      <c r="H10" s="2"/>
      <c r="I10" s="2"/>
      <c r="J10" s="7"/>
      <c r="K10" s="6"/>
      <c r="M10" s="55"/>
      <c r="N10" s="7"/>
      <c r="O10" s="6"/>
      <c r="P10" s="52"/>
      <c r="Q10" s="52"/>
    </row>
    <row r="11" spans="1:17" ht="12.75">
      <c r="A11" s="7">
        <v>2008</v>
      </c>
      <c r="B11" s="2">
        <f>+B9+(B12-B9)*2/3</f>
        <v>124166666.66666667</v>
      </c>
      <c r="C11" s="2">
        <f>B11+13900000</f>
        <v>138066666.6666667</v>
      </c>
      <c r="D11" s="67">
        <f>(B11-B10)/B10</f>
        <v>0.0018827326519635014</v>
      </c>
      <c r="E11" s="46">
        <f>E10*1.0019</f>
        <v>143859958.77759045</v>
      </c>
      <c r="F11" s="2"/>
      <c r="G11" s="2"/>
      <c r="H11" s="46"/>
      <c r="I11" s="2"/>
      <c r="J11" s="2"/>
      <c r="K11" s="49"/>
      <c r="M11" s="56"/>
      <c r="N11" s="2"/>
      <c r="O11" s="49"/>
      <c r="P11" s="53"/>
      <c r="Q11" s="53"/>
    </row>
    <row r="12" spans="1:17" ht="12.75">
      <c r="A12" s="7">
        <v>2009</v>
      </c>
      <c r="B12" s="5">
        <v>124400000</v>
      </c>
      <c r="C12" s="5">
        <f aca="true" t="shared" si="0" ref="C12:C27">+B12+13900000</f>
        <v>138300000</v>
      </c>
      <c r="D12" s="67">
        <f>(B12-B11)/B11</f>
        <v>0.001879194630872443</v>
      </c>
      <c r="E12" s="46">
        <f>E11*1.0019</f>
        <v>144133292.69926786</v>
      </c>
      <c r="F12" s="46">
        <f aca="true" t="shared" si="1" ref="F12:F23">+E12-M12</f>
        <v>147353142.84963393</v>
      </c>
      <c r="G12" s="46">
        <f>+G13</f>
        <v>147972269.81064516</v>
      </c>
      <c r="H12" s="46">
        <v>150572993</v>
      </c>
      <c r="I12" s="2">
        <f aca="true" t="shared" si="2" ref="I12:I23">+E12-H12</f>
        <v>-6439700.300732136</v>
      </c>
      <c r="J12" s="2">
        <f aca="true" t="shared" si="3" ref="J12:J23">+J11+I12</f>
        <v>-6439700.300732136</v>
      </c>
      <c r="K12" s="49">
        <f aca="true" t="shared" si="4" ref="K12:K23">+J12/($A12-2008)</f>
        <v>-6439700.300732136</v>
      </c>
      <c r="M12" s="56">
        <f aca="true" t="shared" si="5" ref="M12:M23">+I12*0.5</f>
        <v>-3219850.150366068</v>
      </c>
      <c r="N12" s="2">
        <f aca="true" t="shared" si="6" ref="N12:N23">+J12*0.5</f>
        <v>-3219850.150366068</v>
      </c>
      <c r="O12" s="49">
        <f aca="true" t="shared" si="7" ref="O12:O23">+N12/($A12-2008)</f>
        <v>-3219850.150366068</v>
      </c>
      <c r="P12" s="53">
        <f aca="true" t="shared" si="8" ref="P12:P23">+M12/H12</f>
        <v>-0.021383981856335072</v>
      </c>
      <c r="Q12" s="53">
        <f>+N12/SUM(H$12:H12)</f>
        <v>-0.021383981856335072</v>
      </c>
    </row>
    <row r="13" spans="1:17" ht="12.75">
      <c r="A13" s="7">
        <v>2010</v>
      </c>
      <c r="B13" s="2">
        <f>+B12+(B15-B12)*1/3</f>
        <v>125466666.66666667</v>
      </c>
      <c r="C13" s="2">
        <f t="shared" si="0"/>
        <v>139366666.6666667</v>
      </c>
      <c r="D13" s="67">
        <f>(B13-B12)/B12</f>
        <v>0.00857449088960347</v>
      </c>
      <c r="E13" s="46">
        <f>E12*1.0086</f>
        <v>145372839.01648155</v>
      </c>
      <c r="F13" s="46">
        <f t="shared" si="1"/>
        <v>147972916.00824076</v>
      </c>
      <c r="G13" s="46">
        <f>AVERAGE(H12:H14)+AVERAGE(M12:M14)</f>
        <v>147972269.81064516</v>
      </c>
      <c r="H13" s="46">
        <v>150572993</v>
      </c>
      <c r="I13" s="2">
        <f t="shared" si="2"/>
        <v>-5200153.983518451</v>
      </c>
      <c r="J13" s="2">
        <f t="shared" si="3"/>
        <v>-11639854.284250587</v>
      </c>
      <c r="K13" s="49">
        <f t="shared" si="4"/>
        <v>-5819927.142125294</v>
      </c>
      <c r="M13" s="56">
        <f t="shared" si="5"/>
        <v>-2600076.9917592257</v>
      </c>
      <c r="N13" s="2">
        <f t="shared" si="6"/>
        <v>-5819927.142125294</v>
      </c>
      <c r="O13" s="49">
        <f t="shared" si="7"/>
        <v>-2909963.571062647</v>
      </c>
      <c r="P13" s="53">
        <f t="shared" si="8"/>
        <v>-0.01726788410029962</v>
      </c>
      <c r="Q13" s="53">
        <f>+N13/SUM(H$12:H13)</f>
        <v>-0.019325932978317344</v>
      </c>
    </row>
    <row r="14" spans="1:17" ht="12.75">
      <c r="A14" s="7">
        <v>2011</v>
      </c>
      <c r="B14" s="2">
        <f>+B12+(B15-B12)*2/3</f>
        <v>126533333.33333333</v>
      </c>
      <c r="C14" s="2">
        <f t="shared" si="0"/>
        <v>140433333.3333333</v>
      </c>
      <c r="D14" s="67">
        <f aca="true" t="shared" si="9" ref="D14:D27">(B14-B13)/B13</f>
        <v>0.008501594048884085</v>
      </c>
      <c r="E14" s="46">
        <f>E13*1.0085</f>
        <v>146608508.14812163</v>
      </c>
      <c r="F14" s="46">
        <f t="shared" si="1"/>
        <v>148590750.5740608</v>
      </c>
      <c r="G14" s="46">
        <f>+G13</f>
        <v>147972269.81064516</v>
      </c>
      <c r="H14" s="46">
        <v>150572993</v>
      </c>
      <c r="I14" s="2">
        <f t="shared" si="2"/>
        <v>-3964484.851878375</v>
      </c>
      <c r="J14" s="2">
        <f t="shared" si="3"/>
        <v>-15604339.136128962</v>
      </c>
      <c r="K14" s="49">
        <f t="shared" si="4"/>
        <v>-5201446.378709654</v>
      </c>
      <c r="M14" s="56">
        <f t="shared" si="5"/>
        <v>-1982242.4259391874</v>
      </c>
      <c r="N14" s="2">
        <f t="shared" si="6"/>
        <v>-7802169.568064481</v>
      </c>
      <c r="O14" s="49">
        <f t="shared" si="7"/>
        <v>-2600723.189354827</v>
      </c>
      <c r="P14" s="53">
        <f t="shared" si="8"/>
        <v>-0.01316466111515222</v>
      </c>
      <c r="Q14" s="53">
        <f>+N14/SUM(H$12:H14)</f>
        <v>-0.017272175690595637</v>
      </c>
    </row>
    <row r="15" spans="1:17" ht="12.75">
      <c r="A15" s="7">
        <v>2012</v>
      </c>
      <c r="B15" s="4">
        <v>127600000</v>
      </c>
      <c r="C15" s="4">
        <f t="shared" si="0"/>
        <v>141500000</v>
      </c>
      <c r="D15" s="67">
        <f t="shared" si="9"/>
        <v>0.008429926238145456</v>
      </c>
      <c r="E15" s="46">
        <f>E14*1.0084</f>
        <v>147840019.61656585</v>
      </c>
      <c r="F15" s="46">
        <f t="shared" si="1"/>
        <v>149206506.3082829</v>
      </c>
      <c r="G15" s="46">
        <f>+G16</f>
        <v>149784581.48258644</v>
      </c>
      <c r="H15" s="46">
        <v>150572993</v>
      </c>
      <c r="I15" s="2">
        <f t="shared" si="2"/>
        <v>-2732973.3834341466</v>
      </c>
      <c r="J15" s="2">
        <f t="shared" si="3"/>
        <v>-18337312.51956311</v>
      </c>
      <c r="K15" s="49">
        <f t="shared" si="4"/>
        <v>-4584328.129890777</v>
      </c>
      <c r="M15" s="56">
        <f t="shared" si="5"/>
        <v>-1366486.6917170733</v>
      </c>
      <c r="N15" s="2">
        <f t="shared" si="6"/>
        <v>-9168656.259781554</v>
      </c>
      <c r="O15" s="49">
        <f t="shared" si="7"/>
        <v>-2292164.0649453886</v>
      </c>
      <c r="P15" s="53">
        <f t="shared" si="8"/>
        <v>-0.009075244268519477</v>
      </c>
      <c r="Q15" s="53">
        <f>+N15/SUM(H$12:H15)</f>
        <v>-0.015222942835076596</v>
      </c>
    </row>
    <row r="16" spans="1:17" ht="12.75">
      <c r="A16" s="7">
        <v>2013</v>
      </c>
      <c r="B16" s="2">
        <f>+B15+(B18-B15)*1/3</f>
        <v>128600000</v>
      </c>
      <c r="C16" s="2">
        <f t="shared" si="0"/>
        <v>142500000</v>
      </c>
      <c r="D16" s="67">
        <f t="shared" si="9"/>
        <v>0.007836990595611285</v>
      </c>
      <c r="E16" s="46">
        <f>E15*1.0078</f>
        <v>148993171.76957506</v>
      </c>
      <c r="F16" s="46">
        <f t="shared" si="1"/>
        <v>149783082.38478753</v>
      </c>
      <c r="G16" s="46">
        <f>AVERAGE(H15:H17)+AVERAGE(M15:M17)</f>
        <v>149784581.48258644</v>
      </c>
      <c r="H16" s="46">
        <v>150572993</v>
      </c>
      <c r="I16" s="2">
        <f t="shared" si="2"/>
        <v>-1579821.2304249406</v>
      </c>
      <c r="J16" s="2">
        <f t="shared" si="3"/>
        <v>-19917133.74998805</v>
      </c>
      <c r="K16" s="49">
        <f t="shared" si="4"/>
        <v>-3983426.7499976098</v>
      </c>
      <c r="M16" s="56">
        <f t="shared" si="5"/>
        <v>-789910.6152124703</v>
      </c>
      <c r="N16" s="2">
        <f t="shared" si="6"/>
        <v>-9958566.874994025</v>
      </c>
      <c r="O16" s="49">
        <f t="shared" si="7"/>
        <v>-1991713.3749988049</v>
      </c>
      <c r="P16" s="53">
        <f t="shared" si="8"/>
        <v>-0.0052460311738139545</v>
      </c>
      <c r="Q16" s="53">
        <f>+N16/SUM(H$12:H16)</f>
        <v>-0.013227560502824068</v>
      </c>
    </row>
    <row r="17" spans="1:17" ht="12.75">
      <c r="A17" s="7">
        <v>2014</v>
      </c>
      <c r="B17" s="2">
        <f>+B15+(B18-B15)*2/3</f>
        <v>129600000</v>
      </c>
      <c r="C17" s="2">
        <f t="shared" si="0"/>
        <v>143500000</v>
      </c>
      <c r="D17" s="67">
        <f t="shared" si="9"/>
        <v>0.007776049766718507</v>
      </c>
      <c r="E17" s="46">
        <f>E16*1.0078</f>
        <v>150155318.50937775</v>
      </c>
      <c r="F17" s="46">
        <f t="shared" si="1"/>
        <v>150364155.75468886</v>
      </c>
      <c r="G17" s="46">
        <f>+G16</f>
        <v>149784581.48258644</v>
      </c>
      <c r="H17" s="46">
        <v>150572993</v>
      </c>
      <c r="I17" s="2">
        <f t="shared" si="2"/>
        <v>-417674.4906222522</v>
      </c>
      <c r="J17" s="2">
        <f t="shared" si="3"/>
        <v>-20334808.2406103</v>
      </c>
      <c r="K17" s="49">
        <f t="shared" si="4"/>
        <v>-3389134.7067683837</v>
      </c>
      <c r="M17" s="56">
        <f t="shared" si="5"/>
        <v>-208837.2453111261</v>
      </c>
      <c r="N17" s="2">
        <f t="shared" si="6"/>
        <v>-10167404.12030515</v>
      </c>
      <c r="O17" s="49">
        <f t="shared" si="7"/>
        <v>-1694567.3533841919</v>
      </c>
      <c r="P17" s="53">
        <f t="shared" si="8"/>
        <v>-0.0013869502169696934</v>
      </c>
      <c r="Q17" s="53">
        <f>+N17/SUM(H$12:H17)</f>
        <v>-0.011254125455181672</v>
      </c>
    </row>
    <row r="18" spans="1:17" ht="12.75">
      <c r="A18" s="7">
        <v>2015</v>
      </c>
      <c r="B18" s="5">
        <v>130600000</v>
      </c>
      <c r="C18" s="5">
        <f t="shared" si="0"/>
        <v>144500000</v>
      </c>
      <c r="D18" s="67">
        <f t="shared" si="9"/>
        <v>0.007716049382716049</v>
      </c>
      <c r="E18" s="46">
        <f>E17*1.0077</f>
        <v>151311514.46189997</v>
      </c>
      <c r="F18" s="46">
        <f t="shared" si="1"/>
        <v>149060091.31844997</v>
      </c>
      <c r="G18" s="46">
        <f>+G19</f>
        <v>147797459.2751345</v>
      </c>
      <c r="H18" s="46">
        <f>+H17-(H$17-H$21)*1/4</f>
        <v>146808668.175</v>
      </c>
      <c r="I18" s="2">
        <f t="shared" si="2"/>
        <v>4502846.286899954</v>
      </c>
      <c r="J18" s="2">
        <f t="shared" si="3"/>
        <v>-15831961.953710347</v>
      </c>
      <c r="K18" s="49">
        <f t="shared" si="4"/>
        <v>-2261708.8505300498</v>
      </c>
      <c r="M18" s="56">
        <f t="shared" si="5"/>
        <v>2251423.143449977</v>
      </c>
      <c r="N18" s="2">
        <f t="shared" si="6"/>
        <v>-7915980.976855174</v>
      </c>
      <c r="O18" s="49">
        <f t="shared" si="7"/>
        <v>-1130854.4252650249</v>
      </c>
      <c r="P18" s="53">
        <f t="shared" si="8"/>
        <v>0.015335764375753468</v>
      </c>
      <c r="Q18" s="53">
        <f>+N18/SUM(H$12:H18)</f>
        <v>-0.007537259134728374</v>
      </c>
    </row>
    <row r="19" spans="1:17" ht="12.75">
      <c r="A19" s="7">
        <v>2016</v>
      </c>
      <c r="B19" s="2">
        <f>+B18+(B21-B18)*1/3</f>
        <v>131666666.66666667</v>
      </c>
      <c r="C19" s="2">
        <f t="shared" si="0"/>
        <v>145566666.6666667</v>
      </c>
      <c r="D19" s="67">
        <f t="shared" si="9"/>
        <v>0.008167432363450779</v>
      </c>
      <c r="E19" s="46">
        <f>E18*1.0082</f>
        <v>152552268.88048753</v>
      </c>
      <c r="F19" s="46">
        <f t="shared" si="1"/>
        <v>147798306.1152438</v>
      </c>
      <c r="G19" s="46">
        <f>AVERAGE(H18:H20)+AVERAGE(M18:M20)</f>
        <v>147797459.2751345</v>
      </c>
      <c r="H19" s="46">
        <f>+H$17-(H$17-H$21)*2/4</f>
        <v>143044343.35000002</v>
      </c>
      <c r="I19" s="2">
        <f t="shared" si="2"/>
        <v>9507925.530487508</v>
      </c>
      <c r="J19" s="2">
        <f t="shared" si="3"/>
        <v>-6324036.42322284</v>
      </c>
      <c r="K19" s="49">
        <f t="shared" si="4"/>
        <v>-790504.552902855</v>
      </c>
      <c r="M19" s="56">
        <f t="shared" si="5"/>
        <v>4753962.765243754</v>
      </c>
      <c r="N19" s="2">
        <f t="shared" si="6"/>
        <v>-3162018.21161142</v>
      </c>
      <c r="O19" s="49">
        <f t="shared" si="7"/>
        <v>-395252.2764514275</v>
      </c>
      <c r="P19" s="53">
        <f t="shared" si="8"/>
        <v>0.0332341891605723</v>
      </c>
      <c r="Q19" s="53">
        <f>+N19/SUM(H$12:H19)</f>
        <v>-0.002649830001537755</v>
      </c>
    </row>
    <row r="20" spans="1:17" ht="12.75">
      <c r="A20" s="7">
        <v>2017</v>
      </c>
      <c r="B20" s="2">
        <f>+B18+(B21-B18)*2/3</f>
        <v>132733333.33333333</v>
      </c>
      <c r="C20" s="2">
        <f t="shared" si="0"/>
        <v>146633333.3333333</v>
      </c>
      <c r="D20" s="67">
        <f t="shared" si="9"/>
        <v>0.008101265822784734</v>
      </c>
      <c r="E20" s="46">
        <f>E19*1.0081</f>
        <v>153787942.25841948</v>
      </c>
      <c r="F20" s="46">
        <f t="shared" si="1"/>
        <v>146533980.39170974</v>
      </c>
      <c r="G20" s="2">
        <f>+G19</f>
        <v>147797459.2751345</v>
      </c>
      <c r="H20" s="2">
        <f>+H$17-(H$17-H$21)*3/4</f>
        <v>139280018.525</v>
      </c>
      <c r="I20" s="2">
        <f t="shared" si="2"/>
        <v>14507923.733419478</v>
      </c>
      <c r="J20" s="2">
        <f t="shared" si="3"/>
        <v>8183887.310196638</v>
      </c>
      <c r="K20" s="49">
        <f t="shared" si="4"/>
        <v>909320.8122440709</v>
      </c>
      <c r="M20" s="56">
        <f t="shared" si="5"/>
        <v>7253961.866709739</v>
      </c>
      <c r="N20" s="2">
        <f t="shared" si="6"/>
        <v>4091943.655098319</v>
      </c>
      <c r="O20" s="49">
        <f t="shared" si="7"/>
        <v>454660.40612203546</v>
      </c>
      <c r="P20" s="53">
        <f t="shared" si="8"/>
        <v>0.05208185598717229</v>
      </c>
      <c r="Q20" s="53">
        <f>+N20/SUM(H$12:H20)</f>
        <v>0.003070713449259622</v>
      </c>
    </row>
    <row r="21" spans="1:17" ht="12.75">
      <c r="A21" s="7">
        <v>2018</v>
      </c>
      <c r="B21" s="5">
        <v>133800000</v>
      </c>
      <c r="C21" s="5">
        <f t="shared" si="0"/>
        <v>147700000</v>
      </c>
      <c r="D21" s="67">
        <f t="shared" si="9"/>
        <v>0.008036162732295366</v>
      </c>
      <c r="E21" s="46">
        <f>E20*1.008</f>
        <v>155018245.79648685</v>
      </c>
      <c r="F21" s="46">
        <f t="shared" si="1"/>
        <v>145266969.74824345</v>
      </c>
      <c r="G21" s="2">
        <f>+G22</f>
        <v>145847138.45132396</v>
      </c>
      <c r="H21" s="2">
        <f>+H12*0.9</f>
        <v>135515693.70000002</v>
      </c>
      <c r="I21" s="2">
        <f t="shared" si="2"/>
        <v>19502552.096486837</v>
      </c>
      <c r="J21" s="2">
        <f t="shared" si="3"/>
        <v>27686439.406683475</v>
      </c>
      <c r="K21" s="49">
        <f t="shared" si="4"/>
        <v>2768643.9406683473</v>
      </c>
      <c r="M21" s="56">
        <f t="shared" si="5"/>
        <v>9751276.048243418</v>
      </c>
      <c r="N21" s="2">
        <f t="shared" si="6"/>
        <v>13843219.703341737</v>
      </c>
      <c r="O21" s="49">
        <f t="shared" si="7"/>
        <v>1384321.9703341736</v>
      </c>
      <c r="P21" s="53">
        <f t="shared" si="8"/>
        <v>0.0719568028027105</v>
      </c>
      <c r="Q21" s="53">
        <f>+N21/SUM(H$12:H21)</f>
        <v>0.009429429389578164</v>
      </c>
    </row>
    <row r="22" spans="1:17" ht="12.75">
      <c r="A22" s="7">
        <v>2019</v>
      </c>
      <c r="B22" s="2">
        <f>+B21+(B24-B21)*1/3</f>
        <v>134800000</v>
      </c>
      <c r="C22" s="2">
        <f t="shared" si="0"/>
        <v>148700000</v>
      </c>
      <c r="D22" s="67">
        <f t="shared" si="9"/>
        <v>0.007473841554559043</v>
      </c>
      <c r="E22" s="46">
        <f>E21*1.0075</f>
        <v>156180882.63996053</v>
      </c>
      <c r="F22" s="46">
        <f t="shared" si="1"/>
        <v>145848288.1699803</v>
      </c>
      <c r="G22" s="46">
        <f>AVERAGE(H21:H23)+AVERAGE(M21:M23)</f>
        <v>145847138.45132396</v>
      </c>
      <c r="H22" s="2">
        <f>+H12*0.9</f>
        <v>135515693.70000002</v>
      </c>
      <c r="I22" s="2">
        <f t="shared" si="2"/>
        <v>20665188.93996051</v>
      </c>
      <c r="J22" s="2">
        <f t="shared" si="3"/>
        <v>48351628.346643984</v>
      </c>
      <c r="K22" s="49">
        <f t="shared" si="4"/>
        <v>4395602.576967635</v>
      </c>
      <c r="M22" s="56">
        <f t="shared" si="5"/>
        <v>10332594.469980255</v>
      </c>
      <c r="N22" s="2">
        <f t="shared" si="6"/>
        <v>24175814.173321992</v>
      </c>
      <c r="O22" s="49">
        <f t="shared" si="7"/>
        <v>2197801.2884838176</v>
      </c>
      <c r="P22" s="53">
        <f t="shared" si="8"/>
        <v>0.07624647882373091</v>
      </c>
      <c r="Q22" s="53">
        <f>+N22/SUM(H$12:H22)</f>
        <v>0.015075940609365719</v>
      </c>
    </row>
    <row r="23" spans="1:17" ht="12.75">
      <c r="A23" s="7">
        <v>2020</v>
      </c>
      <c r="B23" s="2">
        <f>+B21+(B24-B21)*2/3</f>
        <v>135800000</v>
      </c>
      <c r="C23" s="2">
        <f t="shared" si="0"/>
        <v>149700000</v>
      </c>
      <c r="D23" s="67">
        <f t="shared" si="9"/>
        <v>0.00741839762611276</v>
      </c>
      <c r="E23" s="46">
        <f>E22*1.0074</f>
        <v>157336621.17149624</v>
      </c>
      <c r="F23" s="46">
        <f t="shared" si="1"/>
        <v>146426157.43574813</v>
      </c>
      <c r="G23" s="46">
        <f>+G22</f>
        <v>145847138.45132396</v>
      </c>
      <c r="H23" s="46">
        <f>+H12*0.9</f>
        <v>135515693.70000002</v>
      </c>
      <c r="I23" s="2">
        <f t="shared" si="2"/>
        <v>21820927.471496224</v>
      </c>
      <c r="J23" s="2">
        <f t="shared" si="3"/>
        <v>70172555.81814021</v>
      </c>
      <c r="K23" s="49">
        <f t="shared" si="4"/>
        <v>5847712.984845017</v>
      </c>
      <c r="M23" s="56">
        <f t="shared" si="5"/>
        <v>10910463.735748112</v>
      </c>
      <c r="N23" s="2">
        <f t="shared" si="6"/>
        <v>35086277.909070104</v>
      </c>
      <c r="O23" s="49">
        <f t="shared" si="7"/>
        <v>2923856.4924225085</v>
      </c>
      <c r="P23" s="53">
        <f t="shared" si="8"/>
        <v>0.08051070276702654</v>
      </c>
      <c r="Q23" s="53">
        <f>+N23/SUM(H$12:H23)</f>
        <v>0.0201747532450276</v>
      </c>
    </row>
    <row r="24" spans="1:17" ht="12.75">
      <c r="A24" s="7">
        <v>2021</v>
      </c>
      <c r="B24" s="5">
        <v>136800000</v>
      </c>
      <c r="C24" s="5">
        <f t="shared" si="0"/>
        <v>150700000</v>
      </c>
      <c r="D24" s="67">
        <f t="shared" si="9"/>
        <v>0.007363770250368188</v>
      </c>
      <c r="E24" s="46">
        <f>E23*1.0074</f>
        <v>158500912.16816533</v>
      </c>
      <c r="F24" s="5"/>
      <c r="G24" s="5"/>
      <c r="H24" s="2"/>
      <c r="I24" s="2"/>
      <c r="J24" s="2"/>
      <c r="K24" s="49"/>
      <c r="M24" s="56"/>
      <c r="N24" s="2"/>
      <c r="O24" s="49"/>
      <c r="P24" s="53"/>
      <c r="Q24" s="53"/>
    </row>
    <row r="25" spans="1:17" ht="12.75">
      <c r="A25" s="7">
        <v>2022</v>
      </c>
      <c r="B25" s="2">
        <f>+B24+(B27-B24)*1/3</f>
        <v>138033333.33333334</v>
      </c>
      <c r="C25" s="2">
        <f t="shared" si="0"/>
        <v>151933333.33333334</v>
      </c>
      <c r="D25" s="67">
        <f t="shared" si="9"/>
        <v>0.009015594541910404</v>
      </c>
      <c r="E25" s="46">
        <f>E24*1.009</f>
        <v>159927420.3776788</v>
      </c>
      <c r="F25" s="2"/>
      <c r="G25" s="2"/>
      <c r="H25" s="2"/>
      <c r="I25" s="2"/>
      <c r="J25" s="2"/>
      <c r="K25" s="49"/>
      <c r="M25" s="56"/>
      <c r="N25" s="2"/>
      <c r="O25" s="49"/>
      <c r="P25" s="53"/>
      <c r="Q25" s="53"/>
    </row>
    <row r="26" spans="1:17" ht="12.75">
      <c r="A26" s="7">
        <v>2023</v>
      </c>
      <c r="B26" s="2">
        <f>+B24+(B27-B24)*2/3</f>
        <v>139266666.66666666</v>
      </c>
      <c r="C26" s="2">
        <f t="shared" si="0"/>
        <v>153166666.66666666</v>
      </c>
      <c r="D26" s="67">
        <f t="shared" si="9"/>
        <v>0.008935039845447815</v>
      </c>
      <c r="E26" s="46">
        <f>E25*1.0089</f>
        <v>161350774.41904014</v>
      </c>
      <c r="F26" s="2"/>
      <c r="G26" s="2"/>
      <c r="H26" s="2"/>
      <c r="I26" s="2"/>
      <c r="J26" s="2"/>
      <c r="K26" s="49"/>
      <c r="M26" s="56"/>
      <c r="N26" s="2"/>
      <c r="O26" s="49"/>
      <c r="P26" s="53"/>
      <c r="Q26" s="53"/>
    </row>
    <row r="27" spans="1:17" ht="12.75">
      <c r="A27" s="7">
        <v>2024</v>
      </c>
      <c r="B27" s="5">
        <v>140500000</v>
      </c>
      <c r="C27" s="5">
        <f t="shared" si="0"/>
        <v>154400000</v>
      </c>
      <c r="D27" s="67">
        <f t="shared" si="9"/>
        <v>0.008855911919578819</v>
      </c>
      <c r="E27" s="46">
        <f>E26*1.0089</f>
        <v>162786796.3113696</v>
      </c>
      <c r="F27" s="5"/>
      <c r="G27" s="5"/>
      <c r="H27" s="2"/>
      <c r="I27" s="2"/>
      <c r="J27" s="2"/>
      <c r="K27" s="49"/>
      <c r="M27" s="56"/>
      <c r="N27" s="2"/>
      <c r="O27" s="49"/>
      <c r="P27" s="53"/>
      <c r="Q27" s="53"/>
    </row>
    <row r="28" ht="12.75">
      <c r="S28" s="1"/>
    </row>
    <row r="30" spans="15:17" ht="12.75">
      <c r="O30" s="75" t="s">
        <v>33</v>
      </c>
      <c r="P30" s="75" t="s">
        <v>30</v>
      </c>
      <c r="Q30" s="76" t="s">
        <v>22</v>
      </c>
    </row>
    <row r="31" spans="15:17" ht="12.75">
      <c r="O31" s="64">
        <f>+P31/AVERAGE(H12:H14)</f>
        <v>-0.017272175690595637</v>
      </c>
      <c r="P31" s="5">
        <f>SUM(M12:M14)/3</f>
        <v>-2600723.189354827</v>
      </c>
      <c r="Q31" s="87" t="s">
        <v>26</v>
      </c>
    </row>
    <row r="32" spans="15:17" ht="12.75">
      <c r="O32" s="64">
        <f>+P32/AVERAGE(H15:H17)</f>
        <v>-0.005236075219767708</v>
      </c>
      <c r="P32" s="5">
        <f>SUM(M15:M17)/3</f>
        <v>-788411.5174135566</v>
      </c>
      <c r="Q32" s="87" t="s">
        <v>27</v>
      </c>
    </row>
    <row r="33" spans="15:17" ht="12.75">
      <c r="O33" s="64">
        <f>+P33/AVERAGE(H18:H20)</f>
        <v>0.03322826903755708</v>
      </c>
      <c r="P33" s="5">
        <f>SUM(M18:M20)/3</f>
        <v>4753115.92513449</v>
      </c>
      <c r="Q33" s="87" t="s">
        <v>28</v>
      </c>
    </row>
    <row r="34" spans="15:17" ht="12.75">
      <c r="O34" s="64">
        <f>+P34/AVERAGE(H21:H23)</f>
        <v>0.07623799479782264</v>
      </c>
      <c r="P34" s="5">
        <f>SUM(M21:M23)/3</f>
        <v>10331444.751323929</v>
      </c>
      <c r="Q34" s="87" t="s">
        <v>29</v>
      </c>
    </row>
    <row r="35" spans="15:17" ht="12.75">
      <c r="O35" s="73">
        <f>+P35/AVERAGE(H12:H23)</f>
        <v>0.020174753245027603</v>
      </c>
      <c r="P35" s="74">
        <f>AVERAGE(P31:P34)</f>
        <v>2923856.492422509</v>
      </c>
      <c r="Q35" s="88" t="s">
        <v>37</v>
      </c>
    </row>
    <row r="36" ht="12.75">
      <c r="P36" s="1"/>
    </row>
    <row r="37" spans="15:17" ht="12.75">
      <c r="O37" s="61"/>
      <c r="P37" s="63"/>
      <c r="Q37" s="36"/>
    </row>
    <row r="38" ht="12.75">
      <c r="P38" s="1"/>
    </row>
    <row r="39" ht="12.75">
      <c r="P39" s="1"/>
    </row>
    <row r="40" ht="12.75">
      <c r="P40" s="1"/>
    </row>
    <row r="41" ht="12.75">
      <c r="P41" s="1"/>
    </row>
    <row r="42" ht="12.75">
      <c r="P42" s="1"/>
    </row>
    <row r="43" ht="12.75">
      <c r="P43" s="1"/>
    </row>
    <row r="44" ht="12.75">
      <c r="P44" s="1"/>
    </row>
    <row r="45" ht="12.75">
      <c r="P45" s="1"/>
    </row>
    <row r="46" ht="12.75">
      <c r="P46" s="1"/>
    </row>
    <row r="47" spans="15:17" ht="12.75">
      <c r="O47" s="61"/>
      <c r="P47" s="60"/>
      <c r="Q47" s="59"/>
    </row>
  </sheetData>
  <printOptions horizontalCentered="1" verticalCentered="1"/>
  <pageMargins left="0.75" right="0.75" top="1" bottom="1" header="0.5" footer="0.5"/>
  <pageSetup horizontalDpi="600" verticalDpi="600" orientation="landscape" scale="45" r:id="rId2"/>
  <headerFooter alignWithMargins="0">
    <oddFooter>&amp;L&amp;A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5" width="13.7109375" style="0" customWidth="1"/>
    <col min="6" max="8" width="13.140625" style="0" customWidth="1"/>
    <col min="9" max="10" width="17.7109375" style="0" customWidth="1"/>
    <col min="11" max="11" width="17.7109375" style="3" customWidth="1"/>
    <col min="12" max="12" width="2.00390625" style="0" customWidth="1"/>
    <col min="13" max="13" width="17.7109375" style="3" customWidth="1"/>
    <col min="14" max="14" width="17.7109375" style="0" customWidth="1"/>
    <col min="15" max="15" width="19.7109375" style="0" customWidth="1"/>
    <col min="16" max="17" width="12.7109375" style="0" customWidth="1"/>
    <col min="18" max="18" width="2.421875" style="0" customWidth="1"/>
    <col min="19" max="19" width="16.7109375" style="0" customWidth="1"/>
    <col min="20" max="20" width="14.00390625" style="0" customWidth="1"/>
    <col min="21" max="21" width="18.140625" style="0" customWidth="1"/>
    <col min="22" max="16384" width="8.8515625" style="0" customWidth="1"/>
  </cols>
  <sheetData>
    <row r="1" spans="1:17" ht="15.75">
      <c r="A1" s="57" t="s">
        <v>21</v>
      </c>
      <c r="K1" s="38"/>
      <c r="L1" s="39"/>
      <c r="M1" s="39"/>
      <c r="N1" s="40"/>
      <c r="O1" s="41"/>
      <c r="P1" s="42"/>
      <c r="Q1" s="42"/>
    </row>
    <row r="2" spans="1:21" ht="105" customHeight="1">
      <c r="A2" s="45" t="s">
        <v>31</v>
      </c>
      <c r="B2" s="50" t="s">
        <v>47</v>
      </c>
      <c r="C2" s="50" t="s">
        <v>51</v>
      </c>
      <c r="D2" s="50" t="s">
        <v>44</v>
      </c>
      <c r="E2" s="50" t="s">
        <v>49</v>
      </c>
      <c r="F2" s="50"/>
      <c r="G2" s="50"/>
      <c r="H2" s="50" t="s">
        <v>48</v>
      </c>
      <c r="I2" s="48" t="s">
        <v>38</v>
      </c>
      <c r="J2" s="47" t="s">
        <v>39</v>
      </c>
      <c r="K2" s="47" t="s">
        <v>17</v>
      </c>
      <c r="L2" s="39"/>
      <c r="M2" s="54" t="s">
        <v>16</v>
      </c>
      <c r="N2" s="47" t="s">
        <v>18</v>
      </c>
      <c r="O2" s="47" t="s">
        <v>24</v>
      </c>
      <c r="P2" s="51" t="s">
        <v>20</v>
      </c>
      <c r="Q2" s="51" t="s">
        <v>19</v>
      </c>
      <c r="S2" s="51" t="s">
        <v>25</v>
      </c>
      <c r="T2" s="51" t="s">
        <v>41</v>
      </c>
      <c r="U2" s="65"/>
    </row>
    <row r="3" spans="1:21" ht="12.75">
      <c r="A3" s="7">
        <v>2000</v>
      </c>
      <c r="B3" s="5"/>
      <c r="C3" s="5"/>
      <c r="D3" s="85"/>
      <c r="E3" s="84"/>
      <c r="F3" s="86"/>
      <c r="G3" s="86"/>
      <c r="H3" s="81"/>
      <c r="I3" s="2"/>
      <c r="J3" s="7"/>
      <c r="K3" s="6"/>
      <c r="L3" s="1"/>
      <c r="M3" s="55"/>
      <c r="N3" s="7"/>
      <c r="O3" s="6"/>
      <c r="P3" s="52"/>
      <c r="Q3" s="52"/>
      <c r="S3" s="2">
        <v>148220254</v>
      </c>
      <c r="T3" s="2">
        <f>AVERAGE(S3:S7)</f>
        <v>143314844.8</v>
      </c>
      <c r="U3" s="66"/>
    </row>
    <row r="4" spans="1:21" ht="12.75">
      <c r="A4" s="7">
        <v>2001</v>
      </c>
      <c r="B4" s="5"/>
      <c r="C4" s="5"/>
      <c r="D4" s="5"/>
      <c r="E4" s="5"/>
      <c r="F4" s="5"/>
      <c r="G4" s="5"/>
      <c r="H4" s="2"/>
      <c r="I4" s="2"/>
      <c r="J4" s="7"/>
      <c r="K4" s="6"/>
      <c r="M4" s="55"/>
      <c r="N4" s="7"/>
      <c r="O4" s="6"/>
      <c r="P4" s="52"/>
      <c r="Q4" s="52"/>
      <c r="S4" s="2">
        <v>142188168</v>
      </c>
      <c r="T4" s="2">
        <f>+$T$3</f>
        <v>143314844.8</v>
      </c>
      <c r="U4" s="66"/>
    </row>
    <row r="5" spans="1:21" ht="12.75">
      <c r="A5" s="7">
        <v>2002</v>
      </c>
      <c r="B5" s="5"/>
      <c r="C5" s="5"/>
      <c r="D5" s="5"/>
      <c r="E5" s="5"/>
      <c r="F5" s="5"/>
      <c r="G5" s="5"/>
      <c r="H5" s="2"/>
      <c r="I5" s="2"/>
      <c r="J5" s="7"/>
      <c r="K5" s="6"/>
      <c r="M5" s="55"/>
      <c r="N5" s="7"/>
      <c r="O5" s="6"/>
      <c r="P5" s="52"/>
      <c r="Q5" s="52"/>
      <c r="S5" s="2">
        <v>139951780</v>
      </c>
      <c r="T5" s="2">
        <f>+$T$3</f>
        <v>143314844.8</v>
      </c>
      <c r="U5" s="66"/>
    </row>
    <row r="6" spans="1:21" ht="12.75">
      <c r="A6" s="7">
        <v>2003</v>
      </c>
      <c r="B6" s="5"/>
      <c r="C6" s="5"/>
      <c r="D6" s="5"/>
      <c r="E6" s="5"/>
      <c r="F6" s="5"/>
      <c r="G6" s="5"/>
      <c r="H6" s="2"/>
      <c r="I6" s="2"/>
      <c r="J6" s="7"/>
      <c r="K6" s="6"/>
      <c r="M6" s="55"/>
      <c r="N6" s="7"/>
      <c r="O6" s="6"/>
      <c r="P6" s="52"/>
      <c r="Q6" s="52"/>
      <c r="S6" s="2">
        <v>143224098</v>
      </c>
      <c r="T6" s="2">
        <f>+$T$3</f>
        <v>143314844.8</v>
      </c>
      <c r="U6" s="1"/>
    </row>
    <row r="7" spans="1:21" ht="12.75">
      <c r="A7" s="7">
        <v>2004</v>
      </c>
      <c r="B7" s="5"/>
      <c r="C7" s="5"/>
      <c r="D7" s="5"/>
      <c r="E7" s="5"/>
      <c r="F7" s="5"/>
      <c r="G7" s="5"/>
      <c r="H7" s="2"/>
      <c r="I7" s="2"/>
      <c r="J7" s="7"/>
      <c r="K7" s="6"/>
      <c r="M7" s="55"/>
      <c r="N7" s="7"/>
      <c r="O7" s="6"/>
      <c r="P7" s="52"/>
      <c r="Q7" s="52"/>
      <c r="S7" s="2">
        <v>142989924</v>
      </c>
      <c r="T7" s="2">
        <f>+$T$3</f>
        <v>143314844.8</v>
      </c>
      <c r="U7" s="1"/>
    </row>
    <row r="8" spans="1:20" ht="12.75">
      <c r="A8" s="7">
        <v>2005</v>
      </c>
      <c r="B8" s="5"/>
      <c r="C8" s="5"/>
      <c r="D8" s="5"/>
      <c r="E8" s="5"/>
      <c r="F8" s="5"/>
      <c r="G8" s="5"/>
      <c r="H8" s="2"/>
      <c r="I8" s="2"/>
      <c r="J8" s="7"/>
      <c r="K8" s="6"/>
      <c r="M8" s="55"/>
      <c r="N8" s="7"/>
      <c r="O8" s="6"/>
      <c r="P8" s="52"/>
      <c r="Q8" s="52"/>
      <c r="S8" s="83"/>
      <c r="T8" s="82"/>
    </row>
    <row r="9" spans="1:17" ht="12.75">
      <c r="A9" s="7">
        <v>2006</v>
      </c>
      <c r="B9" s="5">
        <f>+'IPM ref case data'!B22</f>
        <v>123700000</v>
      </c>
      <c r="C9" s="5">
        <f aca="true" t="shared" si="0" ref="C9:C27">+B9+13900000</f>
        <v>137600000</v>
      </c>
      <c r="D9" s="5">
        <f aca="true" t="shared" si="1" ref="D9:D27">+B9+20300000</f>
        <v>144000000</v>
      </c>
      <c r="E9" s="5">
        <f aca="true" t="shared" si="2" ref="E9:E27">+B9+25400000</f>
        <v>149100000</v>
      </c>
      <c r="F9" s="5"/>
      <c r="G9" s="5"/>
      <c r="H9" s="2"/>
      <c r="I9" s="2"/>
      <c r="J9" s="7"/>
      <c r="K9" s="6"/>
      <c r="M9" s="55"/>
      <c r="N9" s="7"/>
      <c r="O9" s="6"/>
      <c r="P9" s="52"/>
      <c r="Q9" s="52"/>
    </row>
    <row r="10" spans="1:17" ht="12.75">
      <c r="A10" s="7">
        <v>2007</v>
      </c>
      <c r="B10" s="2">
        <f>+B9+(B12-B9)*1/3</f>
        <v>124000000</v>
      </c>
      <c r="C10" s="2">
        <f t="shared" si="0"/>
        <v>137900000</v>
      </c>
      <c r="D10" s="2">
        <f t="shared" si="1"/>
        <v>144300000</v>
      </c>
      <c r="E10" s="2">
        <f t="shared" si="2"/>
        <v>149400000</v>
      </c>
      <c r="F10" s="2"/>
      <c r="G10" s="2"/>
      <c r="H10" s="2"/>
      <c r="I10" s="2"/>
      <c r="J10" s="7"/>
      <c r="K10" s="6"/>
      <c r="M10" s="55"/>
      <c r="N10" s="7"/>
      <c r="O10" s="6"/>
      <c r="P10" s="52"/>
      <c r="Q10" s="52"/>
    </row>
    <row r="11" spans="1:17" ht="12.75">
      <c r="A11" s="7">
        <v>2008</v>
      </c>
      <c r="B11" s="2">
        <f>+B9+(B12-B9)*2/3</f>
        <v>124300000</v>
      </c>
      <c r="C11" s="2">
        <f t="shared" si="0"/>
        <v>138200000</v>
      </c>
      <c r="D11" s="2">
        <f t="shared" si="1"/>
        <v>144600000</v>
      </c>
      <c r="E11" s="2">
        <f t="shared" si="2"/>
        <v>149700000</v>
      </c>
      <c r="F11" s="2"/>
      <c r="G11" s="2"/>
      <c r="H11" s="46"/>
      <c r="I11" s="2"/>
      <c r="J11" s="2"/>
      <c r="K11" s="49"/>
      <c r="M11" s="56"/>
      <c r="N11" s="2"/>
      <c r="O11" s="49"/>
      <c r="P11" s="53"/>
      <c r="Q11" s="53"/>
    </row>
    <row r="12" spans="1:17" ht="12.75">
      <c r="A12" s="7">
        <v>2009</v>
      </c>
      <c r="B12" s="5">
        <f>+'IPM ref case data'!C22</f>
        <v>124600000</v>
      </c>
      <c r="C12" s="5">
        <f t="shared" si="0"/>
        <v>138500000</v>
      </c>
      <c r="D12" s="5">
        <f t="shared" si="1"/>
        <v>144900000</v>
      </c>
      <c r="E12" s="5">
        <f t="shared" si="2"/>
        <v>150000000</v>
      </c>
      <c r="F12" s="5"/>
      <c r="G12" s="5"/>
      <c r="H12" s="46">
        <v>150000000</v>
      </c>
      <c r="I12" s="2">
        <f aca="true" t="shared" si="3" ref="I12:I23">+E12-H12</f>
        <v>0</v>
      </c>
      <c r="J12" s="2">
        <f aca="true" t="shared" si="4" ref="J12:J23">+J11+I12</f>
        <v>0</v>
      </c>
      <c r="K12" s="49">
        <f aca="true" t="shared" si="5" ref="K12:K23">+J12/($A12-2008)</f>
        <v>0</v>
      </c>
      <c r="M12" s="56">
        <f aca="true" t="shared" si="6" ref="M12:M23">+I12*0.5</f>
        <v>0</v>
      </c>
      <c r="N12" s="2">
        <f aca="true" t="shared" si="7" ref="N12:N23">+J12*0.5</f>
        <v>0</v>
      </c>
      <c r="O12" s="49">
        <f aca="true" t="shared" si="8" ref="O12:O23">+N12/($A12-2008)</f>
        <v>0</v>
      </c>
      <c r="P12" s="53">
        <f aca="true" t="shared" si="9" ref="P12:P23">+M12/H12</f>
        <v>0</v>
      </c>
      <c r="Q12" s="53">
        <f>+N12/SUM(H$12:H12)</f>
        <v>0</v>
      </c>
    </row>
    <row r="13" spans="1:17" ht="12.75">
      <c r="A13" s="7">
        <v>2010</v>
      </c>
      <c r="B13" s="2">
        <f>+B12+(B15-B12)*1/3</f>
        <v>125700000</v>
      </c>
      <c r="C13" s="2">
        <f t="shared" si="0"/>
        <v>139600000</v>
      </c>
      <c r="D13" s="2">
        <f t="shared" si="1"/>
        <v>146000000</v>
      </c>
      <c r="E13" s="2">
        <f t="shared" si="2"/>
        <v>151100000</v>
      </c>
      <c r="F13" s="2"/>
      <c r="G13" s="2"/>
      <c r="H13" s="46">
        <v>150000000</v>
      </c>
      <c r="I13" s="2">
        <f t="shared" si="3"/>
        <v>1100000</v>
      </c>
      <c r="J13" s="2">
        <f t="shared" si="4"/>
        <v>1100000</v>
      </c>
      <c r="K13" s="49">
        <f t="shared" si="5"/>
        <v>550000</v>
      </c>
      <c r="M13" s="56">
        <f t="shared" si="6"/>
        <v>550000</v>
      </c>
      <c r="N13" s="2">
        <f t="shared" si="7"/>
        <v>550000</v>
      </c>
      <c r="O13" s="49">
        <f t="shared" si="8"/>
        <v>275000</v>
      </c>
      <c r="P13" s="53">
        <f t="shared" si="9"/>
        <v>0.0036666666666666666</v>
      </c>
      <c r="Q13" s="53">
        <f>+N13/SUM(H$12:H13)</f>
        <v>0.0018333333333333333</v>
      </c>
    </row>
    <row r="14" spans="1:17" ht="12.75">
      <c r="A14" s="7">
        <v>2011</v>
      </c>
      <c r="B14" s="2">
        <f>+B12+(B15-B12)*2/3</f>
        <v>126800000</v>
      </c>
      <c r="C14" s="2">
        <f t="shared" si="0"/>
        <v>140700000</v>
      </c>
      <c r="D14" s="2">
        <f t="shared" si="1"/>
        <v>147100000</v>
      </c>
      <c r="E14" s="2">
        <f t="shared" si="2"/>
        <v>152200000</v>
      </c>
      <c r="F14" s="2"/>
      <c r="G14" s="2"/>
      <c r="H14" s="46">
        <v>150000000</v>
      </c>
      <c r="I14" s="2">
        <f t="shared" si="3"/>
        <v>2200000</v>
      </c>
      <c r="J14" s="2">
        <f t="shared" si="4"/>
        <v>3300000</v>
      </c>
      <c r="K14" s="49">
        <f t="shared" si="5"/>
        <v>1100000</v>
      </c>
      <c r="M14" s="56">
        <f t="shared" si="6"/>
        <v>1100000</v>
      </c>
      <c r="N14" s="2">
        <f t="shared" si="7"/>
        <v>1650000</v>
      </c>
      <c r="O14" s="49">
        <f t="shared" si="8"/>
        <v>550000</v>
      </c>
      <c r="P14" s="53">
        <f t="shared" si="9"/>
        <v>0.007333333333333333</v>
      </c>
      <c r="Q14" s="53">
        <f>+N14/SUM(H$12:H14)</f>
        <v>0.0036666666666666666</v>
      </c>
    </row>
    <row r="15" spans="1:17" ht="12.75">
      <c r="A15" s="7">
        <v>2012</v>
      </c>
      <c r="B15" s="4">
        <f>+'IPM ref case data'!D22</f>
        <v>127900000</v>
      </c>
      <c r="C15" s="4">
        <f t="shared" si="0"/>
        <v>141800000</v>
      </c>
      <c r="D15" s="4">
        <f t="shared" si="1"/>
        <v>148200000</v>
      </c>
      <c r="E15" s="4">
        <f t="shared" si="2"/>
        <v>153300000</v>
      </c>
      <c r="F15" s="4"/>
      <c r="G15" s="4"/>
      <c r="H15" s="46">
        <v>150000000</v>
      </c>
      <c r="I15" s="2">
        <f t="shared" si="3"/>
        <v>3300000</v>
      </c>
      <c r="J15" s="2">
        <f t="shared" si="4"/>
        <v>6600000</v>
      </c>
      <c r="K15" s="49">
        <f t="shared" si="5"/>
        <v>1650000</v>
      </c>
      <c r="M15" s="56">
        <f t="shared" si="6"/>
        <v>1650000</v>
      </c>
      <c r="N15" s="2">
        <f t="shared" si="7"/>
        <v>3300000</v>
      </c>
      <c r="O15" s="49">
        <f t="shared" si="8"/>
        <v>825000</v>
      </c>
      <c r="P15" s="53">
        <f t="shared" si="9"/>
        <v>0.011</v>
      </c>
      <c r="Q15" s="53">
        <f>+N15/SUM(H$12:H15)</f>
        <v>0.0055</v>
      </c>
    </row>
    <row r="16" spans="1:17" ht="12.75">
      <c r="A16" s="7">
        <v>2013</v>
      </c>
      <c r="B16" s="2">
        <f>+B15+(B18-B15)*1/3</f>
        <v>128900000</v>
      </c>
      <c r="C16" s="2">
        <f t="shared" si="0"/>
        <v>142800000</v>
      </c>
      <c r="D16" s="2">
        <f t="shared" si="1"/>
        <v>149200000</v>
      </c>
      <c r="E16" s="2">
        <f t="shared" si="2"/>
        <v>154300000</v>
      </c>
      <c r="F16" s="2"/>
      <c r="G16" s="2"/>
      <c r="H16" s="46">
        <v>150000000</v>
      </c>
      <c r="I16" s="2">
        <f t="shared" si="3"/>
        <v>4300000</v>
      </c>
      <c r="J16" s="2">
        <f t="shared" si="4"/>
        <v>10900000</v>
      </c>
      <c r="K16" s="49">
        <f t="shared" si="5"/>
        <v>2180000</v>
      </c>
      <c r="M16" s="56">
        <f t="shared" si="6"/>
        <v>2150000</v>
      </c>
      <c r="N16" s="2">
        <f t="shared" si="7"/>
        <v>5450000</v>
      </c>
      <c r="O16" s="49">
        <f t="shared" si="8"/>
        <v>1090000</v>
      </c>
      <c r="P16" s="53">
        <f t="shared" si="9"/>
        <v>0.014333333333333333</v>
      </c>
      <c r="Q16" s="53">
        <f>+N16/SUM(H$12:H16)</f>
        <v>0.007266666666666667</v>
      </c>
    </row>
    <row r="17" spans="1:17" ht="12.75">
      <c r="A17" s="7">
        <v>2014</v>
      </c>
      <c r="B17" s="2">
        <f>+B15+(B18-B15)*2/3</f>
        <v>129900000</v>
      </c>
      <c r="C17" s="2">
        <f t="shared" si="0"/>
        <v>143800000</v>
      </c>
      <c r="D17" s="2">
        <f t="shared" si="1"/>
        <v>150200000</v>
      </c>
      <c r="E17" s="2">
        <f t="shared" si="2"/>
        <v>155300000</v>
      </c>
      <c r="F17" s="2"/>
      <c r="G17" s="2"/>
      <c r="H17" s="46">
        <v>150000000</v>
      </c>
      <c r="I17" s="2">
        <f t="shared" si="3"/>
        <v>5300000</v>
      </c>
      <c r="J17" s="2">
        <f t="shared" si="4"/>
        <v>16200000</v>
      </c>
      <c r="K17" s="49">
        <f t="shared" si="5"/>
        <v>2700000</v>
      </c>
      <c r="M17" s="56">
        <f t="shared" si="6"/>
        <v>2650000</v>
      </c>
      <c r="N17" s="2">
        <f t="shared" si="7"/>
        <v>8100000</v>
      </c>
      <c r="O17" s="49">
        <f t="shared" si="8"/>
        <v>1350000</v>
      </c>
      <c r="P17" s="53">
        <f t="shared" si="9"/>
        <v>0.017666666666666667</v>
      </c>
      <c r="Q17" s="53">
        <f>+N17/SUM(H$12:H17)</f>
        <v>0.009</v>
      </c>
    </row>
    <row r="18" spans="1:17" ht="12.75">
      <c r="A18" s="7">
        <v>2015</v>
      </c>
      <c r="B18" s="5">
        <f>+'IPM ref case data'!E22</f>
        <v>130900000</v>
      </c>
      <c r="C18" s="5">
        <f t="shared" si="0"/>
        <v>144800000</v>
      </c>
      <c r="D18" s="5">
        <f t="shared" si="1"/>
        <v>151200000</v>
      </c>
      <c r="E18" s="5">
        <f t="shared" si="2"/>
        <v>156300000</v>
      </c>
      <c r="F18" s="5"/>
      <c r="G18" s="5"/>
      <c r="H18" s="46">
        <v>150000000</v>
      </c>
      <c r="I18" s="2">
        <f t="shared" si="3"/>
        <v>6300000</v>
      </c>
      <c r="J18" s="2">
        <f t="shared" si="4"/>
        <v>22500000</v>
      </c>
      <c r="K18" s="49">
        <f t="shared" si="5"/>
        <v>3214285.714285714</v>
      </c>
      <c r="M18" s="56">
        <f t="shared" si="6"/>
        <v>3150000</v>
      </c>
      <c r="N18" s="2">
        <f t="shared" si="7"/>
        <v>11250000</v>
      </c>
      <c r="O18" s="49">
        <f t="shared" si="8"/>
        <v>1607142.857142857</v>
      </c>
      <c r="P18" s="53">
        <f t="shared" si="9"/>
        <v>0.021</v>
      </c>
      <c r="Q18" s="53">
        <f>+N18/SUM(H$12:H18)</f>
        <v>0.010714285714285714</v>
      </c>
    </row>
    <row r="19" spans="1:17" ht="12.75">
      <c r="A19" s="7">
        <v>2016</v>
      </c>
      <c r="B19" s="2">
        <f>+B18+(B21-B18)*1/3</f>
        <v>132100000</v>
      </c>
      <c r="C19" s="2">
        <f t="shared" si="0"/>
        <v>146000000</v>
      </c>
      <c r="D19" s="2">
        <f t="shared" si="1"/>
        <v>152400000</v>
      </c>
      <c r="E19" s="2">
        <f t="shared" si="2"/>
        <v>157500000</v>
      </c>
      <c r="F19" s="2"/>
      <c r="G19" s="2"/>
      <c r="H19" s="46">
        <f>+H$18-(H$18-H$23)*1/5</f>
        <v>147000000</v>
      </c>
      <c r="I19" s="2">
        <f t="shared" si="3"/>
        <v>10500000</v>
      </c>
      <c r="J19" s="2">
        <f t="shared" si="4"/>
        <v>33000000</v>
      </c>
      <c r="K19" s="49">
        <f t="shared" si="5"/>
        <v>4125000</v>
      </c>
      <c r="M19" s="56">
        <f t="shared" si="6"/>
        <v>5250000</v>
      </c>
      <c r="N19" s="2">
        <f t="shared" si="7"/>
        <v>16500000</v>
      </c>
      <c r="O19" s="49">
        <f t="shared" si="8"/>
        <v>2062500</v>
      </c>
      <c r="P19" s="53">
        <f t="shared" si="9"/>
        <v>0.03571428571428571</v>
      </c>
      <c r="Q19" s="53">
        <f>+N19/SUM(H$12:H19)</f>
        <v>0.013784461152882205</v>
      </c>
    </row>
    <row r="20" spans="1:17" ht="12.75">
      <c r="A20" s="7">
        <v>2017</v>
      </c>
      <c r="B20" s="2">
        <f>+B18+(B21-B18)*2/3</f>
        <v>133300000</v>
      </c>
      <c r="C20" s="2">
        <f t="shared" si="0"/>
        <v>147200000</v>
      </c>
      <c r="D20" s="2">
        <f t="shared" si="1"/>
        <v>153600000</v>
      </c>
      <c r="E20" s="2">
        <f t="shared" si="2"/>
        <v>158700000</v>
      </c>
      <c r="F20" s="2"/>
      <c r="G20" s="2"/>
      <c r="H20" s="46">
        <f>+H$18-(H$18-H$23)*2/5</f>
        <v>144000000</v>
      </c>
      <c r="I20" s="2">
        <f t="shared" si="3"/>
        <v>14700000</v>
      </c>
      <c r="J20" s="2">
        <f t="shared" si="4"/>
        <v>47700000</v>
      </c>
      <c r="K20" s="49">
        <f t="shared" si="5"/>
        <v>5300000</v>
      </c>
      <c r="M20" s="56">
        <f t="shared" si="6"/>
        <v>7350000</v>
      </c>
      <c r="N20" s="2">
        <f t="shared" si="7"/>
        <v>23850000</v>
      </c>
      <c r="O20" s="49">
        <f t="shared" si="8"/>
        <v>2650000</v>
      </c>
      <c r="P20" s="53">
        <f t="shared" si="9"/>
        <v>0.051041666666666666</v>
      </c>
      <c r="Q20" s="53">
        <f>+N20/SUM(H$12:H20)</f>
        <v>0.01778523489932886</v>
      </c>
    </row>
    <row r="21" spans="1:17" ht="12.75">
      <c r="A21" s="7">
        <v>2018</v>
      </c>
      <c r="B21" s="5">
        <f>+'IPM ref case data'!F22</f>
        <v>134500000</v>
      </c>
      <c r="C21" s="5">
        <f t="shared" si="0"/>
        <v>148400000</v>
      </c>
      <c r="D21" s="5">
        <f t="shared" si="1"/>
        <v>154800000</v>
      </c>
      <c r="E21" s="5">
        <f t="shared" si="2"/>
        <v>159900000</v>
      </c>
      <c r="F21" s="5"/>
      <c r="G21" s="5"/>
      <c r="H21" s="46">
        <f>+H$18-(H$18-H$23)*3/5</f>
        <v>141000000</v>
      </c>
      <c r="I21" s="2">
        <f t="shared" si="3"/>
        <v>18900000</v>
      </c>
      <c r="J21" s="2">
        <f t="shared" si="4"/>
        <v>66600000</v>
      </c>
      <c r="K21" s="49">
        <f t="shared" si="5"/>
        <v>6660000</v>
      </c>
      <c r="M21" s="56">
        <f t="shared" si="6"/>
        <v>9450000</v>
      </c>
      <c r="N21" s="2">
        <f t="shared" si="7"/>
        <v>33300000</v>
      </c>
      <c r="O21" s="49">
        <f t="shared" si="8"/>
        <v>3330000</v>
      </c>
      <c r="P21" s="53">
        <f t="shared" si="9"/>
        <v>0.06702127659574468</v>
      </c>
      <c r="Q21" s="53">
        <f>+N21/SUM(H$12:H21)</f>
        <v>0.022469635627530363</v>
      </c>
    </row>
    <row r="22" spans="1:17" ht="12.75">
      <c r="A22" s="7">
        <v>2019</v>
      </c>
      <c r="B22" s="2">
        <f>+B21+(B24-B21)*1/3</f>
        <v>135533333.33333334</v>
      </c>
      <c r="C22" s="2">
        <f t="shared" si="0"/>
        <v>149433333.33333334</v>
      </c>
      <c r="D22" s="2">
        <f t="shared" si="1"/>
        <v>155833333.33333334</v>
      </c>
      <c r="E22" s="2">
        <f t="shared" si="2"/>
        <v>160933333.33333334</v>
      </c>
      <c r="F22" s="2"/>
      <c r="G22" s="2"/>
      <c r="H22" s="46">
        <f>+H$18-(H$18-H$23)*4/5</f>
        <v>138000000</v>
      </c>
      <c r="I22" s="2">
        <f t="shared" si="3"/>
        <v>22933333.333333343</v>
      </c>
      <c r="J22" s="2">
        <f t="shared" si="4"/>
        <v>89533333.33333334</v>
      </c>
      <c r="K22" s="49">
        <f t="shared" si="5"/>
        <v>8139393.93939394</v>
      </c>
      <c r="M22" s="56">
        <f t="shared" si="6"/>
        <v>11466666.666666672</v>
      </c>
      <c r="N22" s="2">
        <f t="shared" si="7"/>
        <v>44766666.66666667</v>
      </c>
      <c r="O22" s="49">
        <f t="shared" si="8"/>
        <v>4069696.96969697</v>
      </c>
      <c r="P22" s="53">
        <f t="shared" si="9"/>
        <v>0.08309178743961357</v>
      </c>
      <c r="Q22" s="53">
        <f>+N22/SUM(H$12:H22)</f>
        <v>0.02763374485596708</v>
      </c>
    </row>
    <row r="23" spans="1:17" ht="12.75">
      <c r="A23" s="7">
        <v>2020</v>
      </c>
      <c r="B23" s="2">
        <f>+B21+(B24-B21)*2/3</f>
        <v>136566666.66666666</v>
      </c>
      <c r="C23" s="2">
        <f t="shared" si="0"/>
        <v>150466666.66666666</v>
      </c>
      <c r="D23" s="2">
        <f t="shared" si="1"/>
        <v>156866666.66666666</v>
      </c>
      <c r="E23" s="2">
        <f t="shared" si="2"/>
        <v>161966666.66666666</v>
      </c>
      <c r="F23" s="2"/>
      <c r="G23" s="2"/>
      <c r="H23" s="46">
        <f>+H12*0.9</f>
        <v>135000000</v>
      </c>
      <c r="I23" s="2">
        <f t="shared" si="3"/>
        <v>26966666.666666657</v>
      </c>
      <c r="J23" s="2">
        <f t="shared" si="4"/>
        <v>116500000</v>
      </c>
      <c r="K23" s="49">
        <f t="shared" si="5"/>
        <v>9708333.333333334</v>
      </c>
      <c r="M23" s="56">
        <f t="shared" si="6"/>
        <v>13483333.333333328</v>
      </c>
      <c r="N23" s="2">
        <f t="shared" si="7"/>
        <v>58250000</v>
      </c>
      <c r="O23" s="49">
        <f t="shared" si="8"/>
        <v>4854166.666666667</v>
      </c>
      <c r="P23" s="53">
        <f t="shared" si="9"/>
        <v>0.0998765432098765</v>
      </c>
      <c r="Q23" s="53">
        <f>+N23/SUM(H$12:H23)</f>
        <v>0.03319088319088319</v>
      </c>
    </row>
    <row r="24" spans="1:17" ht="12.75">
      <c r="A24" s="7">
        <v>2021</v>
      </c>
      <c r="B24" s="5">
        <f>+'IPM ref case data'!G22</f>
        <v>137600000</v>
      </c>
      <c r="C24" s="5">
        <f t="shared" si="0"/>
        <v>151500000</v>
      </c>
      <c r="D24" s="5">
        <f t="shared" si="1"/>
        <v>157900000</v>
      </c>
      <c r="E24" s="5">
        <f t="shared" si="2"/>
        <v>163000000</v>
      </c>
      <c r="F24" s="5"/>
      <c r="G24" s="5"/>
      <c r="H24" s="2"/>
      <c r="I24" s="2"/>
      <c r="J24" s="2"/>
      <c r="K24" s="49"/>
      <c r="M24" s="56"/>
      <c r="N24" s="2"/>
      <c r="O24" s="49"/>
      <c r="P24" s="53"/>
      <c r="Q24" s="53"/>
    </row>
    <row r="25" spans="1:17" ht="12.75">
      <c r="A25" s="7">
        <v>2022</v>
      </c>
      <c r="B25" s="2">
        <f>+B24+(B27-B24)*1/3</f>
        <v>138800000</v>
      </c>
      <c r="C25" s="2">
        <f t="shared" si="0"/>
        <v>152700000</v>
      </c>
      <c r="D25" s="2">
        <f t="shared" si="1"/>
        <v>159100000</v>
      </c>
      <c r="E25" s="2">
        <f t="shared" si="2"/>
        <v>164200000</v>
      </c>
      <c r="F25" s="2"/>
      <c r="G25" s="2"/>
      <c r="H25" s="2"/>
      <c r="I25" s="2"/>
      <c r="J25" s="2"/>
      <c r="K25" s="49"/>
      <c r="M25" s="56"/>
      <c r="N25" s="2"/>
      <c r="O25" s="49"/>
      <c r="P25" s="53"/>
      <c r="Q25" s="53"/>
    </row>
    <row r="26" spans="1:17" ht="12.75">
      <c r="A26" s="7">
        <v>2023</v>
      </c>
      <c r="B26" s="2">
        <f>+B24+(B27-B24)*2/3</f>
        <v>140000000</v>
      </c>
      <c r="C26" s="2">
        <f t="shared" si="0"/>
        <v>153900000</v>
      </c>
      <c r="D26" s="2">
        <f t="shared" si="1"/>
        <v>160300000</v>
      </c>
      <c r="E26" s="2">
        <f t="shared" si="2"/>
        <v>165400000</v>
      </c>
      <c r="F26" s="2"/>
      <c r="G26" s="2"/>
      <c r="H26" s="2"/>
      <c r="I26" s="2"/>
      <c r="J26" s="2"/>
      <c r="K26" s="49"/>
      <c r="M26" s="56"/>
      <c r="N26" s="2"/>
      <c r="O26" s="49"/>
      <c r="P26" s="53"/>
      <c r="Q26" s="53"/>
    </row>
    <row r="27" spans="1:17" ht="12.75">
      <c r="A27" s="7">
        <v>2024</v>
      </c>
      <c r="B27" s="5">
        <f>+'IPM ref case data'!H22</f>
        <v>141200000</v>
      </c>
      <c r="C27" s="5">
        <f t="shared" si="0"/>
        <v>155100000</v>
      </c>
      <c r="D27" s="5">
        <f t="shared" si="1"/>
        <v>161500000</v>
      </c>
      <c r="E27" s="5">
        <f t="shared" si="2"/>
        <v>166600000</v>
      </c>
      <c r="F27" s="5"/>
      <c r="G27" s="5"/>
      <c r="H27" s="2"/>
      <c r="I27" s="2"/>
      <c r="J27" s="2"/>
      <c r="K27" s="49"/>
      <c r="M27" s="56"/>
      <c r="N27" s="2"/>
      <c r="O27" s="49"/>
      <c r="P27" s="53"/>
      <c r="Q27" s="53"/>
    </row>
    <row r="28" ht="12.75">
      <c r="S28" s="1"/>
    </row>
    <row r="30" spans="15:17" ht="12.75">
      <c r="O30" s="75" t="s">
        <v>33</v>
      </c>
      <c r="P30" s="77" t="s">
        <v>30</v>
      </c>
      <c r="Q30" s="76" t="s">
        <v>22</v>
      </c>
    </row>
    <row r="31" spans="15:17" ht="12.75">
      <c r="O31" s="64">
        <f>+P31/AVERAGE(H12:H14)</f>
        <v>0.0036666666666666666</v>
      </c>
      <c r="P31" s="5">
        <f>SUM(M12:M14)/3</f>
        <v>550000</v>
      </c>
      <c r="Q31" s="72" t="s">
        <v>26</v>
      </c>
    </row>
    <row r="32" spans="15:17" ht="12.75">
      <c r="O32" s="64">
        <f>+P32/AVERAGE(H15:H17)</f>
        <v>0.014333333333333333</v>
      </c>
      <c r="P32" s="5">
        <f>SUM(M15:M17)/3</f>
        <v>2150000</v>
      </c>
      <c r="Q32" s="72" t="s">
        <v>27</v>
      </c>
    </row>
    <row r="33" spans="15:17" ht="12.75">
      <c r="O33" s="64">
        <f>+P33/AVERAGE(H18:H20)</f>
        <v>0.03571428571428571</v>
      </c>
      <c r="P33" s="5">
        <f>SUM(M18:M20)/3</f>
        <v>5250000</v>
      </c>
      <c r="Q33" s="72" t="s">
        <v>28</v>
      </c>
    </row>
    <row r="34" spans="15:17" ht="12.75">
      <c r="O34" s="64">
        <f>+P34/AVERAGE(H21:H23)</f>
        <v>0.08309178743961353</v>
      </c>
      <c r="P34" s="5">
        <f>SUM(M21:M23)/3</f>
        <v>11466666.666666666</v>
      </c>
      <c r="Q34" s="72" t="s">
        <v>29</v>
      </c>
    </row>
    <row r="35" spans="15:17" ht="12.75">
      <c r="O35" s="73">
        <f>+P35/AVERAGE(H12:H23)</f>
        <v>0.03319088319088319</v>
      </c>
      <c r="P35" s="74">
        <f>AVERAGE(P31:P34)</f>
        <v>4854166.666666666</v>
      </c>
      <c r="Q35" s="59" t="s">
        <v>36</v>
      </c>
    </row>
    <row r="36" ht="12.75">
      <c r="P36" s="1"/>
    </row>
  </sheetData>
  <printOptions horizontalCentered="1" verticalCentered="1"/>
  <pageMargins left="0.75" right="0.75" top="1" bottom="1" header="0.5" footer="0.5"/>
  <pageSetup horizontalDpi="600" verticalDpi="600" orientation="landscape" scale="45" r:id="rId2"/>
  <headerFooter alignWithMargins="0">
    <oddFooter>&amp;L&amp;A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2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5" width="13.7109375" style="0" customWidth="1"/>
    <col min="6" max="8" width="13.140625" style="0" customWidth="1"/>
    <col min="9" max="10" width="17.7109375" style="0" customWidth="1"/>
    <col min="11" max="11" width="17.7109375" style="3" customWidth="1"/>
    <col min="12" max="12" width="2.00390625" style="0" customWidth="1"/>
    <col min="13" max="13" width="17.7109375" style="3" customWidth="1"/>
    <col min="14" max="14" width="17.7109375" style="0" customWidth="1"/>
    <col min="15" max="15" width="19.7109375" style="0" customWidth="1"/>
    <col min="16" max="17" width="12.7109375" style="0" customWidth="1"/>
    <col min="18" max="18" width="2.421875" style="0" customWidth="1"/>
    <col min="19" max="19" width="16.7109375" style="0" customWidth="1"/>
    <col min="20" max="20" width="14.00390625" style="0" customWidth="1"/>
    <col min="21" max="21" width="18.140625" style="0" customWidth="1"/>
    <col min="22" max="16384" width="8.8515625" style="0" customWidth="1"/>
  </cols>
  <sheetData>
    <row r="1" spans="1:17" ht="15.75">
      <c r="A1" s="57" t="s">
        <v>21</v>
      </c>
      <c r="B1" s="57"/>
      <c r="C1" s="57"/>
      <c r="D1" s="57"/>
      <c r="K1" s="38"/>
      <c r="L1" s="39"/>
      <c r="M1" s="39"/>
      <c r="N1" s="40"/>
      <c r="O1" s="41"/>
      <c r="P1" s="42"/>
      <c r="Q1" s="42"/>
    </row>
    <row r="2" spans="1:21" ht="105" customHeight="1">
      <c r="A2" s="45" t="s">
        <v>31</v>
      </c>
      <c r="B2" s="50" t="s">
        <v>35</v>
      </c>
      <c r="C2" s="50"/>
      <c r="D2" s="50" t="s">
        <v>32</v>
      </c>
      <c r="E2" s="50" t="s">
        <v>52</v>
      </c>
      <c r="F2" s="89" t="s">
        <v>43</v>
      </c>
      <c r="G2" s="90" t="s">
        <v>40</v>
      </c>
      <c r="H2" s="50" t="s">
        <v>42</v>
      </c>
      <c r="I2" s="48" t="s">
        <v>38</v>
      </c>
      <c r="J2" s="47" t="s">
        <v>39</v>
      </c>
      <c r="K2" s="47" t="s">
        <v>17</v>
      </c>
      <c r="L2" s="39"/>
      <c r="M2" s="54" t="s">
        <v>16</v>
      </c>
      <c r="N2" s="47" t="s">
        <v>18</v>
      </c>
      <c r="O2" s="47" t="s">
        <v>24</v>
      </c>
      <c r="P2" s="51" t="s">
        <v>20</v>
      </c>
      <c r="Q2" s="51" t="s">
        <v>19</v>
      </c>
      <c r="S2" s="51" t="s">
        <v>25</v>
      </c>
      <c r="T2" s="51" t="s">
        <v>41</v>
      </c>
      <c r="U2" s="65"/>
    </row>
    <row r="3" spans="1:21" ht="12.75">
      <c r="A3" s="7">
        <v>2000</v>
      </c>
      <c r="B3" s="7"/>
      <c r="C3" s="7"/>
      <c r="D3" s="7"/>
      <c r="E3" s="84"/>
      <c r="F3" s="78"/>
      <c r="G3" s="80"/>
      <c r="H3" s="81"/>
      <c r="I3" s="2"/>
      <c r="J3" s="7"/>
      <c r="K3" s="6"/>
      <c r="L3" s="1"/>
      <c r="M3" s="55"/>
      <c r="N3" s="7"/>
      <c r="O3" s="6"/>
      <c r="P3" s="52"/>
      <c r="Q3" s="52"/>
      <c r="S3" s="2">
        <v>148220254</v>
      </c>
      <c r="T3" s="2">
        <f>AVERAGE(S3:S7)</f>
        <v>143314844.8</v>
      </c>
      <c r="U3" s="66"/>
    </row>
    <row r="4" spans="1:21" ht="12.75">
      <c r="A4" s="7">
        <v>2001</v>
      </c>
      <c r="B4" s="7"/>
      <c r="C4" s="7"/>
      <c r="D4" s="7"/>
      <c r="E4" s="5"/>
      <c r="F4" s="5"/>
      <c r="G4" s="5"/>
      <c r="H4" s="2"/>
      <c r="I4" s="2"/>
      <c r="J4" s="7"/>
      <c r="K4" s="6"/>
      <c r="M4" s="55"/>
      <c r="N4" s="7"/>
      <c r="O4" s="6"/>
      <c r="P4" s="52"/>
      <c r="Q4" s="52"/>
      <c r="S4" s="2">
        <v>142188168</v>
      </c>
      <c r="T4" s="2">
        <f>+$T$3</f>
        <v>143314844.8</v>
      </c>
      <c r="U4" s="66"/>
    </row>
    <row r="5" spans="1:21" ht="12.75">
      <c r="A5" s="7">
        <v>2002</v>
      </c>
      <c r="B5" s="7"/>
      <c r="C5" s="7"/>
      <c r="D5" s="7"/>
      <c r="E5" s="5"/>
      <c r="F5" s="5"/>
      <c r="G5" s="5"/>
      <c r="H5" s="2"/>
      <c r="I5" s="2"/>
      <c r="J5" s="7"/>
      <c r="K5" s="6"/>
      <c r="M5" s="55"/>
      <c r="N5" s="7"/>
      <c r="O5" s="6"/>
      <c r="P5" s="52"/>
      <c r="Q5" s="52"/>
      <c r="S5" s="2">
        <v>139951780</v>
      </c>
      <c r="T5" s="2">
        <f>+$T$3</f>
        <v>143314844.8</v>
      </c>
      <c r="U5" s="66"/>
    </row>
    <row r="6" spans="1:21" ht="12.75">
      <c r="A6" s="7">
        <v>2003</v>
      </c>
      <c r="B6" s="7"/>
      <c r="C6" s="7"/>
      <c r="D6" s="7"/>
      <c r="E6" s="5"/>
      <c r="F6" s="5"/>
      <c r="G6" s="5"/>
      <c r="H6" s="2"/>
      <c r="I6" s="2"/>
      <c r="J6" s="7"/>
      <c r="K6" s="6"/>
      <c r="M6" s="55"/>
      <c r="N6" s="7"/>
      <c r="O6" s="6"/>
      <c r="P6" s="52"/>
      <c r="Q6" s="52"/>
      <c r="S6" s="2">
        <v>143224098</v>
      </c>
      <c r="T6" s="2">
        <f>+$T$3</f>
        <v>143314844.8</v>
      </c>
      <c r="U6" s="1"/>
    </row>
    <row r="7" spans="1:21" ht="12.75">
      <c r="A7" s="7">
        <v>2004</v>
      </c>
      <c r="B7" s="7"/>
      <c r="C7" s="7"/>
      <c r="D7" s="7"/>
      <c r="E7" s="5"/>
      <c r="F7" s="5"/>
      <c r="G7" s="5"/>
      <c r="H7" s="2"/>
      <c r="I7" s="2"/>
      <c r="J7" s="7"/>
      <c r="K7" s="6"/>
      <c r="M7" s="55"/>
      <c r="N7" s="7"/>
      <c r="O7" s="6"/>
      <c r="P7" s="52"/>
      <c r="Q7" s="52"/>
      <c r="S7" s="2">
        <v>142989924</v>
      </c>
      <c r="T7" s="2">
        <f>+$T$3</f>
        <v>143314844.8</v>
      </c>
      <c r="U7" s="1"/>
    </row>
    <row r="8" spans="1:20" ht="12.75">
      <c r="A8" s="7">
        <v>2005</v>
      </c>
      <c r="B8" s="7"/>
      <c r="C8" s="7"/>
      <c r="D8" s="7"/>
      <c r="E8" s="5"/>
      <c r="F8" s="5"/>
      <c r="G8" s="5"/>
      <c r="H8" s="2"/>
      <c r="I8" s="2"/>
      <c r="J8" s="7"/>
      <c r="K8" s="6"/>
      <c r="M8" s="55"/>
      <c r="N8" s="7"/>
      <c r="O8" s="6"/>
      <c r="P8" s="52"/>
      <c r="Q8" s="52"/>
      <c r="S8" s="83"/>
      <c r="T8" s="82"/>
    </row>
    <row r="9" spans="1:17" ht="12.75">
      <c r="A9" s="7">
        <v>2006</v>
      </c>
      <c r="B9" s="5">
        <v>123700000</v>
      </c>
      <c r="C9" s="5"/>
      <c r="D9" s="7"/>
      <c r="E9" s="5"/>
      <c r="F9" s="5"/>
      <c r="G9" s="5"/>
      <c r="H9" s="2"/>
      <c r="I9" s="2"/>
      <c r="J9" s="7"/>
      <c r="K9" s="6"/>
      <c r="M9" s="55"/>
      <c r="N9" s="7"/>
      <c r="O9" s="6"/>
      <c r="P9" s="52"/>
      <c r="Q9" s="52"/>
    </row>
    <row r="10" spans="1:17" ht="12.75">
      <c r="A10" s="7">
        <v>2007</v>
      </c>
      <c r="B10" s="2">
        <f>+B9+(B12-B9)*1/3</f>
        <v>123933333.33333333</v>
      </c>
      <c r="C10" s="2"/>
      <c r="D10" s="68">
        <f aca="true" t="shared" si="0" ref="D10:D27">(B10-B9)/B9</f>
        <v>0.001886284020479615</v>
      </c>
      <c r="E10" s="2"/>
      <c r="F10" s="2"/>
      <c r="G10" s="2"/>
      <c r="H10" s="2"/>
      <c r="I10" s="2"/>
      <c r="J10" s="7"/>
      <c r="K10" s="6"/>
      <c r="M10" s="55"/>
      <c r="N10" s="7"/>
      <c r="O10" s="6"/>
      <c r="P10" s="52"/>
      <c r="Q10" s="52"/>
    </row>
    <row r="11" spans="1:17" ht="12.75">
      <c r="A11" s="7">
        <v>2008</v>
      </c>
      <c r="B11" s="2">
        <f>+B9+(B12-B9)*2/3</f>
        <v>124166666.66666667</v>
      </c>
      <c r="C11" s="2"/>
      <c r="D11" s="67">
        <f t="shared" si="0"/>
        <v>0.0018827326519635014</v>
      </c>
      <c r="E11" s="2"/>
      <c r="F11" s="2"/>
      <c r="G11" s="2"/>
      <c r="H11" s="46"/>
      <c r="I11" s="2"/>
      <c r="J11" s="2"/>
      <c r="K11" s="49"/>
      <c r="M11" s="56"/>
      <c r="N11" s="2"/>
      <c r="O11" s="49"/>
      <c r="P11" s="53"/>
      <c r="Q11" s="53"/>
    </row>
    <row r="12" spans="1:17" ht="12.75">
      <c r="A12" s="7">
        <v>2009</v>
      </c>
      <c r="B12" s="5">
        <v>124400000</v>
      </c>
      <c r="C12" s="5"/>
      <c r="D12" s="68">
        <f t="shared" si="0"/>
        <v>0.001879194630872443</v>
      </c>
      <c r="E12" s="46">
        <f>B12+26172993</f>
        <v>150572993</v>
      </c>
      <c r="F12" s="46">
        <f>+E12-M12</f>
        <v>150572993</v>
      </c>
      <c r="G12" s="46">
        <f>+G13</f>
        <v>151219781.80098137</v>
      </c>
      <c r="H12" s="46">
        <v>150572993</v>
      </c>
      <c r="I12" s="2">
        <f aca="true" t="shared" si="1" ref="I12:I23">+E12-H12</f>
        <v>0</v>
      </c>
      <c r="J12" s="2">
        <f aca="true" t="shared" si="2" ref="J12:J23">+J11+I12</f>
        <v>0</v>
      </c>
      <c r="K12" s="49">
        <f aca="true" t="shared" si="3" ref="K12:K23">+J12/($A12-2008)</f>
        <v>0</v>
      </c>
      <c r="M12" s="56">
        <f aca="true" t="shared" si="4" ref="M12:M23">+I12*0.5</f>
        <v>0</v>
      </c>
      <c r="N12" s="2">
        <f aca="true" t="shared" si="5" ref="N12:N23">+J12*0.5</f>
        <v>0</v>
      </c>
      <c r="O12" s="49">
        <f aca="true" t="shared" si="6" ref="O12:O23">+N12/($A12-2008)</f>
        <v>0</v>
      </c>
      <c r="P12" s="53">
        <f aca="true" t="shared" si="7" ref="P12:P23">+M12/H12</f>
        <v>0</v>
      </c>
      <c r="Q12" s="53">
        <f>+N12/SUM(H$12:H12)</f>
        <v>0</v>
      </c>
    </row>
    <row r="13" spans="1:17" ht="12.75">
      <c r="A13" s="7">
        <v>2010</v>
      </c>
      <c r="B13" s="2">
        <f>+B12+(B15-B12)*1/3</f>
        <v>125466666.66666667</v>
      </c>
      <c r="C13" s="2"/>
      <c r="D13" s="67">
        <f t="shared" si="0"/>
        <v>0.00857449088960347</v>
      </c>
      <c r="E13" s="46">
        <f>E12*1.0086</f>
        <v>151867920.73979998</v>
      </c>
      <c r="F13" s="46">
        <f aca="true" t="shared" si="8" ref="F13:F23">+E13-M13</f>
        <v>151220456.8699</v>
      </c>
      <c r="G13" s="46">
        <f>AVERAGE(H12:H14)+AVERAGE(M12:M14)</f>
        <v>151219781.80098137</v>
      </c>
      <c r="H13" s="46">
        <v>150572993</v>
      </c>
      <c r="I13" s="2">
        <f t="shared" si="1"/>
        <v>1294927.7397999763</v>
      </c>
      <c r="J13" s="2">
        <f t="shared" si="2"/>
        <v>1294927.7397999763</v>
      </c>
      <c r="K13" s="49">
        <f t="shared" si="3"/>
        <v>647463.8698999882</v>
      </c>
      <c r="M13" s="56">
        <f t="shared" si="4"/>
        <v>647463.8698999882</v>
      </c>
      <c r="N13" s="2">
        <f t="shared" si="5"/>
        <v>647463.8698999882</v>
      </c>
      <c r="O13" s="49">
        <f t="shared" si="6"/>
        <v>323731.9349499941</v>
      </c>
      <c r="P13" s="53">
        <f t="shared" si="7"/>
        <v>0.004299999999999921</v>
      </c>
      <c r="Q13" s="53">
        <f>+N13/SUM(H$12:H13)</f>
        <v>0.0021499999999999605</v>
      </c>
    </row>
    <row r="14" spans="1:17" ht="12.75">
      <c r="A14" s="7">
        <v>2011</v>
      </c>
      <c r="B14" s="2">
        <f>+B12+(B15-B12)*2/3</f>
        <v>126533333.33333333</v>
      </c>
      <c r="C14" s="2"/>
      <c r="D14" s="67">
        <f t="shared" si="0"/>
        <v>0.008501594048884085</v>
      </c>
      <c r="E14" s="46">
        <f>E13*1.0085</f>
        <v>153158798.06608826</v>
      </c>
      <c r="F14" s="46">
        <f t="shared" si="8"/>
        <v>151865895.53304413</v>
      </c>
      <c r="G14" s="46">
        <f>+G13</f>
        <v>151219781.80098137</v>
      </c>
      <c r="H14" s="46">
        <v>150572993</v>
      </c>
      <c r="I14" s="2">
        <f t="shared" si="1"/>
        <v>2585805.066088259</v>
      </c>
      <c r="J14" s="2">
        <f t="shared" si="2"/>
        <v>3880732.8058882356</v>
      </c>
      <c r="K14" s="49">
        <f t="shared" si="3"/>
        <v>1293577.6019627452</v>
      </c>
      <c r="M14" s="56">
        <f t="shared" si="4"/>
        <v>1292902.5330441296</v>
      </c>
      <c r="N14" s="2">
        <f t="shared" si="5"/>
        <v>1940366.4029441178</v>
      </c>
      <c r="O14" s="49">
        <f t="shared" si="6"/>
        <v>646788.8009813726</v>
      </c>
      <c r="P14" s="53">
        <f t="shared" si="7"/>
        <v>0.008586549999999865</v>
      </c>
      <c r="Q14" s="53">
        <f>+N14/SUM(H$12:H14)</f>
        <v>0.004295516666666595</v>
      </c>
    </row>
    <row r="15" spans="1:17" ht="12.75">
      <c r="A15" s="7">
        <v>2012</v>
      </c>
      <c r="B15" s="5">
        <v>127600000</v>
      </c>
      <c r="C15" s="5"/>
      <c r="D15" s="68">
        <f t="shared" si="0"/>
        <v>0.008429926238145456</v>
      </c>
      <c r="E15" s="46">
        <f>E14*1.0084</f>
        <v>154445331.9698434</v>
      </c>
      <c r="F15" s="46">
        <f t="shared" si="8"/>
        <v>152509162.4849217</v>
      </c>
      <c r="G15" s="46">
        <f>+G16</f>
        <v>153113065.35527027</v>
      </c>
      <c r="H15" s="46">
        <v>150572993</v>
      </c>
      <c r="I15" s="2">
        <f t="shared" si="1"/>
        <v>3872338.9698433876</v>
      </c>
      <c r="J15" s="2">
        <f t="shared" si="2"/>
        <v>7753071.775731623</v>
      </c>
      <c r="K15" s="49">
        <f t="shared" si="3"/>
        <v>1938267.9439329058</v>
      </c>
      <c r="M15" s="56">
        <f t="shared" si="4"/>
        <v>1936169.4849216938</v>
      </c>
      <c r="N15" s="2">
        <f t="shared" si="5"/>
        <v>3876535.8878658116</v>
      </c>
      <c r="O15" s="49">
        <f t="shared" si="6"/>
        <v>969133.9719664529</v>
      </c>
      <c r="P15" s="53">
        <f t="shared" si="7"/>
        <v>0.01285867701999982</v>
      </c>
      <c r="Q15" s="53">
        <f>+N15/SUM(H$12:H15)</f>
        <v>0.006436306754999901</v>
      </c>
    </row>
    <row r="16" spans="1:17" ht="12.75">
      <c r="A16" s="7">
        <v>2013</v>
      </c>
      <c r="B16" s="2">
        <f>+B15+(B18-B15)*1/3</f>
        <v>128600000</v>
      </c>
      <c r="C16" s="2"/>
      <c r="D16" s="67">
        <f t="shared" si="0"/>
        <v>0.007836990595611285</v>
      </c>
      <c r="E16" s="46">
        <f>E15*1.0078</f>
        <v>155650005.55920818</v>
      </c>
      <c r="F16" s="46">
        <f t="shared" si="8"/>
        <v>153111499.27960408</v>
      </c>
      <c r="G16" s="46">
        <f>AVERAGE(H15:H17)+AVERAGE(M15:M17)</f>
        <v>153113065.35527027</v>
      </c>
      <c r="H16" s="46">
        <v>150572993</v>
      </c>
      <c r="I16" s="2">
        <f t="shared" si="1"/>
        <v>5077012.5592081845</v>
      </c>
      <c r="J16" s="2">
        <f t="shared" si="2"/>
        <v>12830084.334939808</v>
      </c>
      <c r="K16" s="49">
        <f t="shared" si="3"/>
        <v>2566016.8669879613</v>
      </c>
      <c r="M16" s="56">
        <f t="shared" si="4"/>
        <v>2538506.2796040922</v>
      </c>
      <c r="N16" s="2">
        <f t="shared" si="5"/>
        <v>6415042.167469904</v>
      </c>
      <c r="O16" s="49">
        <f t="shared" si="6"/>
        <v>1283008.4334939807</v>
      </c>
      <c r="P16" s="53">
        <f t="shared" si="7"/>
        <v>0.01685897470075588</v>
      </c>
      <c r="Q16" s="53">
        <f>+N16/SUM(H$12:H16)</f>
        <v>0.008520840344151097</v>
      </c>
    </row>
    <row r="17" spans="1:17" ht="12.75">
      <c r="A17" s="7">
        <v>2014</v>
      </c>
      <c r="B17" s="2">
        <f>+B15+(B18-B15)*2/3</f>
        <v>129600000</v>
      </c>
      <c r="C17" s="2"/>
      <c r="D17" s="67">
        <f t="shared" si="0"/>
        <v>0.007776049766718507</v>
      </c>
      <c r="E17" s="46">
        <f>E16*1.0078</f>
        <v>156864075.60257003</v>
      </c>
      <c r="F17" s="46">
        <f t="shared" si="8"/>
        <v>153718534.30128503</v>
      </c>
      <c r="G17" s="46">
        <f>+G16</f>
        <v>153113065.35527027</v>
      </c>
      <c r="H17" s="46">
        <v>150572993</v>
      </c>
      <c r="I17" s="2">
        <f t="shared" si="1"/>
        <v>6291082.602570027</v>
      </c>
      <c r="J17" s="2">
        <f t="shared" si="2"/>
        <v>19121166.937509835</v>
      </c>
      <c r="K17" s="49">
        <f t="shared" si="3"/>
        <v>3186861.156251639</v>
      </c>
      <c r="M17" s="56">
        <f t="shared" si="4"/>
        <v>3145541.3012850136</v>
      </c>
      <c r="N17" s="2">
        <f t="shared" si="5"/>
        <v>9560583.468754917</v>
      </c>
      <c r="O17" s="49">
        <f t="shared" si="6"/>
        <v>1593430.5781258196</v>
      </c>
      <c r="P17" s="53">
        <f t="shared" si="7"/>
        <v>0.020890474703421837</v>
      </c>
      <c r="Q17" s="53">
        <f>+N17/SUM(H$12:H17)</f>
        <v>0.01058244607069622</v>
      </c>
    </row>
    <row r="18" spans="1:17" ht="12.75">
      <c r="A18" s="7">
        <v>2015</v>
      </c>
      <c r="B18" s="5">
        <v>130600000</v>
      </c>
      <c r="C18" s="5"/>
      <c r="D18" s="68">
        <f t="shared" si="0"/>
        <v>0.007716049382716049</v>
      </c>
      <c r="E18" s="46">
        <f>E17*1.0077</f>
        <v>158071928.98470983</v>
      </c>
      <c r="F18" s="46">
        <f t="shared" si="8"/>
        <v>152440298.5798549</v>
      </c>
      <c r="G18" s="46">
        <f>+G19</f>
        <v>151205346.40029636</v>
      </c>
      <c r="H18" s="46">
        <f>+H$17-(H$17-H$21)*1/4</f>
        <v>146808668.175</v>
      </c>
      <c r="I18" s="2">
        <f t="shared" si="1"/>
        <v>11263260.809709817</v>
      </c>
      <c r="J18" s="2">
        <f t="shared" si="2"/>
        <v>30384427.747219652</v>
      </c>
      <c r="K18" s="49">
        <f t="shared" si="3"/>
        <v>4340632.535317093</v>
      </c>
      <c r="M18" s="56">
        <f t="shared" si="4"/>
        <v>5631630.404854909</v>
      </c>
      <c r="N18" s="2">
        <f t="shared" si="5"/>
        <v>15192213.873609826</v>
      </c>
      <c r="O18" s="49">
        <f t="shared" si="6"/>
        <v>2170316.2676585466</v>
      </c>
      <c r="P18" s="53">
        <f t="shared" si="7"/>
        <v>0.038360339855013526</v>
      </c>
      <c r="Q18" s="53">
        <f>+N18/SUM(H$12:H18)</f>
        <v>0.014465377459901866</v>
      </c>
    </row>
    <row r="19" spans="1:17" ht="12.75">
      <c r="A19" s="7">
        <v>2016</v>
      </c>
      <c r="B19" s="2">
        <f>+B18+(B21-B18)*1/3</f>
        <v>131666666.66666667</v>
      </c>
      <c r="C19" s="2"/>
      <c r="D19" s="67">
        <f t="shared" si="0"/>
        <v>0.008167432363450779</v>
      </c>
      <c r="E19" s="46">
        <f>E18*1.0082</f>
        <v>159368118.80238444</v>
      </c>
      <c r="F19" s="46">
        <f t="shared" si="8"/>
        <v>151206231.07619223</v>
      </c>
      <c r="G19" s="46">
        <f>AVERAGE(H18:H20)+AVERAGE(M18:M20)</f>
        <v>151205346.40029636</v>
      </c>
      <c r="H19" s="46">
        <f>+H$17-(H$17-H$21)*2/4</f>
        <v>143044343.35000002</v>
      </c>
      <c r="I19" s="2">
        <f t="shared" si="1"/>
        <v>16323775.452384412</v>
      </c>
      <c r="J19" s="2">
        <f t="shared" si="2"/>
        <v>46708203.199604064</v>
      </c>
      <c r="K19" s="49">
        <f t="shared" si="3"/>
        <v>5838525.399950508</v>
      </c>
      <c r="M19" s="56">
        <f t="shared" si="4"/>
        <v>8161887.726192206</v>
      </c>
      <c r="N19" s="2">
        <f t="shared" si="5"/>
        <v>23354101.599802032</v>
      </c>
      <c r="O19" s="49">
        <f t="shared" si="6"/>
        <v>2919262.699975254</v>
      </c>
      <c r="P19" s="53">
        <f t="shared" si="7"/>
        <v>0.05705844450081993</v>
      </c>
      <c r="Q19" s="53">
        <f>+N19/SUM(H$12:H19)</f>
        <v>0.019571170985311602</v>
      </c>
    </row>
    <row r="20" spans="1:17" ht="12.75">
      <c r="A20" s="7">
        <v>2017</v>
      </c>
      <c r="B20" s="2">
        <f>+B18+(B21-B18)*2/3</f>
        <v>132733333.33333333</v>
      </c>
      <c r="C20" s="2"/>
      <c r="D20" s="67">
        <f t="shared" si="0"/>
        <v>0.008101265822784734</v>
      </c>
      <c r="E20" s="46">
        <f>E19*1.0081</f>
        <v>160659000.56468374</v>
      </c>
      <c r="F20" s="46">
        <f t="shared" si="8"/>
        <v>149969509.5448419</v>
      </c>
      <c r="G20" s="2">
        <f>+G19</f>
        <v>151205346.40029636</v>
      </c>
      <c r="H20" s="2">
        <f>+H$17-(H$17-H$21)*3/4</f>
        <v>139280018.525</v>
      </c>
      <c r="I20" s="2">
        <f t="shared" si="1"/>
        <v>21378982.03968373</v>
      </c>
      <c r="J20" s="2">
        <f t="shared" si="2"/>
        <v>68087185.2392878</v>
      </c>
      <c r="K20" s="49">
        <f t="shared" si="3"/>
        <v>7565242.804365311</v>
      </c>
      <c r="M20" s="56">
        <f t="shared" si="4"/>
        <v>10689491.019841865</v>
      </c>
      <c r="N20" s="2">
        <f t="shared" si="5"/>
        <v>34043592.6196439</v>
      </c>
      <c r="O20" s="49">
        <f t="shared" si="6"/>
        <v>3782621.4021826554</v>
      </c>
      <c r="P20" s="53">
        <f t="shared" si="7"/>
        <v>0.07674820216887865</v>
      </c>
      <c r="Q20" s="53">
        <f>+N20/SUM(H$12:H20)</f>
        <v>0.02554730136325505</v>
      </c>
    </row>
    <row r="21" spans="1:17" ht="12.75">
      <c r="A21" s="7">
        <v>2018</v>
      </c>
      <c r="B21" s="5">
        <v>133800000</v>
      </c>
      <c r="C21" s="5"/>
      <c r="D21" s="68">
        <f t="shared" si="0"/>
        <v>0.008036162732295366</v>
      </c>
      <c r="E21" s="46">
        <f>E20*1.008</f>
        <v>161944272.5692012</v>
      </c>
      <c r="F21" s="46">
        <f t="shared" si="8"/>
        <v>148729983.1346006</v>
      </c>
      <c r="G21" s="2">
        <f>+G22</f>
        <v>149336073.0700469</v>
      </c>
      <c r="H21" s="2">
        <f>+H$12*0.9</f>
        <v>135515693.70000002</v>
      </c>
      <c r="I21" s="2">
        <f t="shared" si="1"/>
        <v>26428578.869201183</v>
      </c>
      <c r="J21" s="2">
        <f t="shared" si="2"/>
        <v>94515764.10848898</v>
      </c>
      <c r="K21" s="49">
        <f t="shared" si="3"/>
        <v>9451576.410848897</v>
      </c>
      <c r="M21" s="56">
        <f t="shared" si="4"/>
        <v>13214289.434600592</v>
      </c>
      <c r="N21" s="2">
        <f t="shared" si="5"/>
        <v>47257882.05424449</v>
      </c>
      <c r="O21" s="49">
        <f t="shared" si="6"/>
        <v>4725788.2054244485</v>
      </c>
      <c r="P21" s="53">
        <f t="shared" si="7"/>
        <v>0.09751113744695822</v>
      </c>
      <c r="Q21" s="53">
        <f>+N21/SUM(H$12:H21)</f>
        <v>0.03219011700175072</v>
      </c>
    </row>
    <row r="22" spans="1:17" ht="12.75">
      <c r="A22" s="7">
        <v>2019</v>
      </c>
      <c r="B22" s="2">
        <f>+B21+(B24-B21)*1/3</f>
        <v>134800000</v>
      </c>
      <c r="C22" s="2"/>
      <c r="D22" s="67">
        <f t="shared" si="0"/>
        <v>0.007473841554559043</v>
      </c>
      <c r="E22" s="46">
        <f>E21*1.0075</f>
        <v>163158854.61347023</v>
      </c>
      <c r="F22" s="46">
        <f t="shared" si="8"/>
        <v>149337274.15673512</v>
      </c>
      <c r="G22" s="46">
        <f>AVERAGE(H21:H23)+AVERAGE(M21:M23)</f>
        <v>149336073.0700469</v>
      </c>
      <c r="H22" s="2">
        <f>+H$21</f>
        <v>135515693.70000002</v>
      </c>
      <c r="I22" s="2">
        <f t="shared" si="1"/>
        <v>27643160.91347021</v>
      </c>
      <c r="J22" s="2">
        <f t="shared" si="2"/>
        <v>122158925.02195919</v>
      </c>
      <c r="K22" s="49">
        <f t="shared" si="3"/>
        <v>11105356.820178108</v>
      </c>
      <c r="M22" s="56">
        <f t="shared" si="4"/>
        <v>13821580.456735104</v>
      </c>
      <c r="N22" s="2">
        <f t="shared" si="5"/>
        <v>61079462.51097959</v>
      </c>
      <c r="O22" s="49">
        <f t="shared" si="6"/>
        <v>5552678.410089054</v>
      </c>
      <c r="P22" s="53">
        <f t="shared" si="7"/>
        <v>0.10199247097781046</v>
      </c>
      <c r="Q22" s="53">
        <f>+N22/SUM(H$12:H22)</f>
        <v>0.038088907478600845</v>
      </c>
    </row>
    <row r="23" spans="1:17" ht="12.75">
      <c r="A23" s="7">
        <v>2020</v>
      </c>
      <c r="B23" s="2">
        <f>+B21+(B24-B21)*2/3</f>
        <v>135800000</v>
      </c>
      <c r="C23" s="2"/>
      <c r="D23" s="67">
        <f t="shared" si="0"/>
        <v>0.00741839762611276</v>
      </c>
      <c r="E23" s="46">
        <f>E22*1.0074</f>
        <v>164366230.13760993</v>
      </c>
      <c r="F23" s="46">
        <f t="shared" si="8"/>
        <v>149940961.91880497</v>
      </c>
      <c r="G23" s="46">
        <f>+G22</f>
        <v>149336073.0700469</v>
      </c>
      <c r="H23" s="46">
        <f>+H12*0.9</f>
        <v>135515693.70000002</v>
      </c>
      <c r="I23" s="2">
        <f t="shared" si="1"/>
        <v>28850536.43760991</v>
      </c>
      <c r="J23" s="2">
        <f t="shared" si="2"/>
        <v>151009461.4595691</v>
      </c>
      <c r="K23" s="49">
        <f t="shared" si="3"/>
        <v>12584121.788297424</v>
      </c>
      <c r="M23" s="56">
        <f t="shared" si="4"/>
        <v>14425268.218804955</v>
      </c>
      <c r="N23" s="2">
        <f t="shared" si="5"/>
        <v>75504730.72978455</v>
      </c>
      <c r="O23" s="49">
        <f t="shared" si="6"/>
        <v>6292060.894148712</v>
      </c>
      <c r="P23" s="53">
        <f t="shared" si="7"/>
        <v>0.10644721526304635</v>
      </c>
      <c r="Q23" s="53">
        <f>+N23/SUM(H$12:H23)</f>
        <v>0.04341552886440179</v>
      </c>
    </row>
    <row r="24" spans="1:17" ht="12.75">
      <c r="A24" s="7">
        <v>2021</v>
      </c>
      <c r="B24" s="5">
        <v>136800000</v>
      </c>
      <c r="C24" s="5"/>
      <c r="D24" s="68">
        <f t="shared" si="0"/>
        <v>0.007363770250368188</v>
      </c>
      <c r="E24" s="46">
        <f>E23*1.0074</f>
        <v>165582540.24062824</v>
      </c>
      <c r="F24" s="5"/>
      <c r="G24" s="5"/>
      <c r="H24" s="2"/>
      <c r="I24" s="2"/>
      <c r="J24" s="2"/>
      <c r="K24" s="49"/>
      <c r="M24" s="56"/>
      <c r="N24" s="2"/>
      <c r="O24" s="49"/>
      <c r="P24" s="53"/>
      <c r="Q24" s="53"/>
    </row>
    <row r="25" spans="1:17" ht="12.75">
      <c r="A25" s="7">
        <v>2022</v>
      </c>
      <c r="B25" s="2">
        <f>+B24+(B27-B24)*1/3</f>
        <v>138033333.33333334</v>
      </c>
      <c r="C25" s="2"/>
      <c r="D25" s="67">
        <f t="shared" si="0"/>
        <v>0.009015594541910404</v>
      </c>
      <c r="E25" s="46">
        <f>E24*1.009</f>
        <v>167072783.10279387</v>
      </c>
      <c r="F25" s="2"/>
      <c r="G25" s="2"/>
      <c r="H25" s="2"/>
      <c r="I25" s="2"/>
      <c r="J25" s="2"/>
      <c r="K25" s="49"/>
      <c r="M25" s="56"/>
      <c r="N25" s="2"/>
      <c r="O25" s="49"/>
      <c r="P25" s="53"/>
      <c r="Q25" s="53"/>
    </row>
    <row r="26" spans="1:17" ht="12.75">
      <c r="A26" s="7">
        <v>2023</v>
      </c>
      <c r="B26" s="2">
        <f>+B24+(B27-B24)*2/3</f>
        <v>139266666.66666666</v>
      </c>
      <c r="C26" s="2"/>
      <c r="D26" s="67">
        <f t="shared" si="0"/>
        <v>0.008935039845447815</v>
      </c>
      <c r="E26" s="46">
        <f>E25*1.0089</f>
        <v>168559730.87240872</v>
      </c>
      <c r="F26" s="2"/>
      <c r="G26" s="2"/>
      <c r="H26" s="2"/>
      <c r="I26" s="2"/>
      <c r="J26" s="2"/>
      <c r="K26" s="49"/>
      <c r="M26" s="56"/>
      <c r="N26" s="2"/>
      <c r="O26" s="49"/>
      <c r="P26" s="53"/>
      <c r="Q26" s="53"/>
    </row>
    <row r="27" spans="1:17" ht="12.75">
      <c r="A27" s="7">
        <v>2024</v>
      </c>
      <c r="B27" s="5">
        <v>140500000</v>
      </c>
      <c r="C27" s="5"/>
      <c r="D27" s="68">
        <f t="shared" si="0"/>
        <v>0.008855911919578819</v>
      </c>
      <c r="E27" s="46">
        <f>E26*1.0089</f>
        <v>170059912.47717315</v>
      </c>
      <c r="F27" s="5"/>
      <c r="G27" s="5"/>
      <c r="H27" s="2"/>
      <c r="I27" s="2"/>
      <c r="J27" s="2"/>
      <c r="K27" s="49"/>
      <c r="M27" s="56"/>
      <c r="N27" s="2"/>
      <c r="O27" s="49"/>
      <c r="P27" s="53"/>
      <c r="Q27" s="53"/>
    </row>
    <row r="28" ht="12.75">
      <c r="S28" s="1"/>
    </row>
    <row r="30" spans="15:17" ht="12.75">
      <c r="O30" s="75" t="s">
        <v>33</v>
      </c>
      <c r="P30" s="75" t="s">
        <v>30</v>
      </c>
      <c r="Q30" s="76" t="s">
        <v>22</v>
      </c>
    </row>
    <row r="31" spans="15:17" ht="12.75">
      <c r="O31" s="64">
        <f>+P31/AVERAGE(H12:H14)</f>
        <v>0.004295516666666595</v>
      </c>
      <c r="P31" s="5">
        <f>SUM(M12:M14)/3</f>
        <v>646788.8009813726</v>
      </c>
      <c r="Q31" s="87" t="s">
        <v>26</v>
      </c>
    </row>
    <row r="32" spans="15:17" ht="12.75">
      <c r="O32" s="64">
        <f>+P32/AVERAGE(H15:H17)</f>
        <v>0.016869375474725848</v>
      </c>
      <c r="P32" s="5">
        <f>SUM(M15:M17)/3</f>
        <v>2540072.3552702665</v>
      </c>
      <c r="Q32" s="87" t="s">
        <v>27</v>
      </c>
    </row>
    <row r="33" spans="15:17" ht="12.75">
      <c r="O33" s="64">
        <f>+P33/AVERAGE(H18:H20)</f>
        <v>0.05705225987390521</v>
      </c>
      <c r="P33" s="5">
        <f>SUM(M18:M20)/3</f>
        <v>8161003.050296326</v>
      </c>
      <c r="Q33" s="87" t="s">
        <v>28</v>
      </c>
    </row>
    <row r="34" spans="15:17" ht="12.75">
      <c r="O34" s="64">
        <f>+P34/AVERAGE(H21:H23)</f>
        <v>0.10198360789593834</v>
      </c>
      <c r="P34" s="5">
        <f>SUM(M21:M23)/3</f>
        <v>13820379.370046884</v>
      </c>
      <c r="Q34" s="87" t="s">
        <v>29</v>
      </c>
    </row>
    <row r="35" spans="15:17" ht="12.75">
      <c r="O35" s="73">
        <f>+P35/AVERAGE(H12:H23)</f>
        <v>0.04341552886440179</v>
      </c>
      <c r="P35" s="74">
        <f>AVERAGE(P31:P34)</f>
        <v>6292060.894148712</v>
      </c>
      <c r="Q35" s="88" t="s">
        <v>36</v>
      </c>
    </row>
    <row r="36" spans="15:16" ht="12.75">
      <c r="O36" s="71"/>
      <c r="P36" s="1"/>
    </row>
    <row r="37" spans="15:16" ht="12.75">
      <c r="O37" s="71"/>
      <c r="P37" s="69"/>
    </row>
    <row r="38" ht="12.75">
      <c r="P38" s="69"/>
    </row>
    <row r="39" ht="12.75">
      <c r="P39" s="69"/>
    </row>
    <row r="40" ht="12.75">
      <c r="P40" s="69"/>
    </row>
    <row r="41" ht="12.75">
      <c r="P41" s="69"/>
    </row>
    <row r="42" ht="12.75">
      <c r="P42" s="69"/>
    </row>
    <row r="43" ht="12.75">
      <c r="P43" s="69"/>
    </row>
    <row r="44" ht="12.75">
      <c r="P44" s="69"/>
    </row>
    <row r="45" ht="12.75">
      <c r="P45" s="69"/>
    </row>
    <row r="46" ht="12.75">
      <c r="P46" s="69"/>
    </row>
    <row r="47" spans="15:17" ht="12.75">
      <c r="O47" s="61"/>
      <c r="P47" s="70"/>
      <c r="Q47" s="58"/>
    </row>
    <row r="48" ht="12.75">
      <c r="P48" s="33"/>
    </row>
    <row r="49" ht="12.75">
      <c r="P49" s="33"/>
    </row>
    <row r="50" ht="12.75">
      <c r="P50" s="69"/>
    </row>
    <row r="51" ht="12.75">
      <c r="P51" s="69"/>
    </row>
    <row r="52" ht="12.75">
      <c r="P52" s="69"/>
    </row>
    <row r="53" ht="12.75">
      <c r="P53" s="69"/>
    </row>
    <row r="54" ht="12.75">
      <c r="P54" s="69"/>
    </row>
    <row r="55" ht="12.75">
      <c r="P55" s="69"/>
    </row>
    <row r="56" ht="12.75">
      <c r="P56" s="69"/>
    </row>
    <row r="57" ht="12.75">
      <c r="P57" s="69"/>
    </row>
    <row r="58" ht="12.75">
      <c r="P58" s="69"/>
    </row>
    <row r="59" spans="16:17" ht="12.75">
      <c r="P59" s="69"/>
      <c r="Q59" s="58"/>
    </row>
    <row r="60" spans="15:17" ht="12.75">
      <c r="O60" s="61"/>
      <c r="P60" s="69"/>
      <c r="Q60" s="62"/>
    </row>
    <row r="61" ht="12.75">
      <c r="P61" s="69"/>
    </row>
    <row r="62" spans="15:17" ht="12.75">
      <c r="O62" s="61"/>
      <c r="P62" s="60"/>
      <c r="Q62" s="58"/>
    </row>
  </sheetData>
  <printOptions horizontalCentered="1" verticalCentered="1"/>
  <pageMargins left="0.75" right="0.75" top="1" bottom="1" header="0.5" footer="0.5"/>
  <pageSetup horizontalDpi="600" verticalDpi="600" orientation="landscape" scale="45" r:id="rId2"/>
  <headerFooter alignWithMargins="0">
    <oddFooter>&amp;L&amp;A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="75" zoomScaleNormal="75" workbookViewId="0" topLeftCell="A3">
      <selection activeCell="K27" sqref="K27"/>
    </sheetView>
  </sheetViews>
  <sheetFormatPr defaultColWidth="9.140625" defaultRowHeight="12.75"/>
  <cols>
    <col min="1" max="1" width="31.421875" style="0" customWidth="1"/>
    <col min="2" max="8" width="11.28125" style="0" bestFit="1" customWidth="1"/>
    <col min="9" max="9" width="8.8515625" style="0" customWidth="1"/>
    <col min="10" max="10" width="16.28125" style="0" customWidth="1"/>
    <col min="11" max="11" width="10.421875" style="0" bestFit="1" customWidth="1"/>
    <col min="12" max="17" width="9.28125" style="0" bestFit="1" customWidth="1"/>
    <col min="18" max="19" width="8.8515625" style="0" customWidth="1"/>
    <col min="20" max="20" width="10.421875" style="0" bestFit="1" customWidth="1"/>
    <col min="21" max="26" width="9.28125" style="0" bestFit="1" customWidth="1"/>
    <col min="27" max="28" width="8.8515625" style="0" customWidth="1"/>
    <col min="29" max="29" width="10.421875" style="0" bestFit="1" customWidth="1"/>
    <col min="30" max="35" width="9.28125" style="0" bestFit="1" customWidth="1"/>
    <col min="36" max="16384" width="8.8515625" style="0" customWidth="1"/>
  </cols>
  <sheetData>
    <row r="1" ht="20.25">
      <c r="A1" s="8" t="s">
        <v>0</v>
      </c>
    </row>
    <row r="2" ht="14.25">
      <c r="A2" s="9" t="s">
        <v>1</v>
      </c>
    </row>
    <row r="3" ht="12.75">
      <c r="A3" s="10"/>
    </row>
    <row r="4" ht="13.5" thickBot="1">
      <c r="A4" s="11" t="s">
        <v>2</v>
      </c>
    </row>
    <row r="5" spans="1:8" ht="13.5" thickBot="1">
      <c r="A5" s="12"/>
      <c r="B5" s="13">
        <v>2006</v>
      </c>
      <c r="C5" s="13">
        <v>2009</v>
      </c>
      <c r="D5" s="13">
        <v>2012</v>
      </c>
      <c r="E5" s="13">
        <v>2015</v>
      </c>
      <c r="F5" s="13">
        <v>2018</v>
      </c>
      <c r="G5" s="13">
        <v>2021</v>
      </c>
      <c r="H5" s="14">
        <v>2024</v>
      </c>
    </row>
    <row r="6" spans="1:8" ht="12.75">
      <c r="A6" s="15" t="s">
        <v>3</v>
      </c>
      <c r="B6" s="16">
        <v>25.4293247</v>
      </c>
      <c r="C6" s="16">
        <v>23.587097400000008</v>
      </c>
      <c r="D6" s="16">
        <v>23.3970339</v>
      </c>
      <c r="E6" s="16">
        <v>23.16480470000001</v>
      </c>
      <c r="F6" s="16">
        <v>24.581033900000005</v>
      </c>
      <c r="G6" s="16">
        <v>25.41283540000001</v>
      </c>
      <c r="H6" s="17">
        <v>26.196928000000007</v>
      </c>
    </row>
    <row r="7" spans="1:8" ht="12.75">
      <c r="A7" s="18" t="s">
        <v>4</v>
      </c>
      <c r="B7" s="19">
        <v>10.6039865</v>
      </c>
      <c r="C7" s="19">
        <v>11.846620400000003</v>
      </c>
      <c r="D7" s="19">
        <v>12.580214900000001</v>
      </c>
      <c r="E7" s="19">
        <v>12.330891700000006</v>
      </c>
      <c r="F7" s="19">
        <v>12.696492900000004</v>
      </c>
      <c r="G7" s="19">
        <v>13.533952800000005</v>
      </c>
      <c r="H7" s="20">
        <v>14.150854600000004</v>
      </c>
    </row>
    <row r="8" spans="1:8" ht="12.75">
      <c r="A8" s="18" t="s">
        <v>5</v>
      </c>
      <c r="B8" s="19">
        <v>1.9778366</v>
      </c>
      <c r="C8" s="19">
        <v>2.0969567</v>
      </c>
      <c r="D8" s="19">
        <v>2.5128679999999997</v>
      </c>
      <c r="E8" s="19">
        <v>2.3750058</v>
      </c>
      <c r="F8" s="19">
        <v>2.2473506</v>
      </c>
      <c r="G8" s="19">
        <v>1.9247100999999998</v>
      </c>
      <c r="H8" s="20">
        <v>1.9699346999999998</v>
      </c>
    </row>
    <row r="9" spans="1:8" ht="12.75">
      <c r="A9" s="18" t="s">
        <v>6</v>
      </c>
      <c r="B9" s="19">
        <v>5.372417799999999</v>
      </c>
      <c r="C9" s="19">
        <v>5.3087737</v>
      </c>
      <c r="D9" s="19">
        <v>4.8816888</v>
      </c>
      <c r="E9" s="19">
        <v>5.213123199999999</v>
      </c>
      <c r="F9" s="19">
        <v>4.9530079</v>
      </c>
      <c r="G9" s="19">
        <v>4.9130535</v>
      </c>
      <c r="H9" s="20">
        <v>4.5393870000000005</v>
      </c>
    </row>
    <row r="10" spans="1:8" ht="12.75">
      <c r="A10" s="18" t="s">
        <v>7</v>
      </c>
      <c r="B10" s="19">
        <v>1.5847098</v>
      </c>
      <c r="C10" s="19">
        <v>1.4476873999999997</v>
      </c>
      <c r="D10" s="19">
        <v>1.8693518</v>
      </c>
      <c r="E10" s="19">
        <v>1.9629418</v>
      </c>
      <c r="F10" s="19">
        <v>1.9227622999999998</v>
      </c>
      <c r="G10" s="19">
        <v>1.7512271999999998</v>
      </c>
      <c r="H10" s="20">
        <v>1.7512271999999998</v>
      </c>
    </row>
    <row r="11" spans="1:8" ht="12.75">
      <c r="A11" s="18" t="s">
        <v>8</v>
      </c>
      <c r="B11" s="19">
        <v>0</v>
      </c>
      <c r="C11" s="19">
        <v>0.0272098</v>
      </c>
      <c r="D11" s="19">
        <v>0.0272098</v>
      </c>
      <c r="E11" s="19">
        <v>0.031506099999999995</v>
      </c>
      <c r="F11" s="19">
        <v>0.031506099999999995</v>
      </c>
      <c r="G11" s="19">
        <v>0.036757099999999994</v>
      </c>
      <c r="H11" s="20">
        <v>0.036757099999999994</v>
      </c>
    </row>
    <row r="12" spans="1:8" ht="12.75">
      <c r="A12" s="18" t="s">
        <v>9</v>
      </c>
      <c r="B12" s="19">
        <v>55.6460123</v>
      </c>
      <c r="C12" s="19">
        <v>55.84182679999999</v>
      </c>
      <c r="D12" s="19">
        <v>55.65546069999999</v>
      </c>
      <c r="E12" s="19">
        <v>54.697023900000005</v>
      </c>
      <c r="F12" s="19">
        <v>55.58345920000001</v>
      </c>
      <c r="G12" s="19">
        <v>56.49377400000001</v>
      </c>
      <c r="H12" s="20">
        <v>57.779464899999994</v>
      </c>
    </row>
    <row r="13" spans="1:8" ht="12.75">
      <c r="A13" s="18" t="s">
        <v>10</v>
      </c>
      <c r="B13" s="19">
        <v>8.955815799999998</v>
      </c>
      <c r="C13" s="19">
        <v>10.774399199999998</v>
      </c>
      <c r="D13" s="19">
        <v>13.2157417</v>
      </c>
      <c r="E13" s="19">
        <v>13.4976235</v>
      </c>
      <c r="F13" s="19">
        <v>13.144744200000002</v>
      </c>
      <c r="G13" s="19">
        <v>13.212462700000001</v>
      </c>
      <c r="H13" s="20">
        <v>13.8498046</v>
      </c>
    </row>
    <row r="14" spans="1:8" ht="13.5" thickBot="1">
      <c r="A14" s="21" t="s">
        <v>11</v>
      </c>
      <c r="B14" s="22">
        <v>18.552151900000002</v>
      </c>
      <c r="C14" s="22">
        <v>18.937212199999998</v>
      </c>
      <c r="D14" s="22">
        <v>18.5351376</v>
      </c>
      <c r="E14" s="22">
        <v>21.083809400000003</v>
      </c>
      <c r="F14" s="22">
        <v>22.805477800000002</v>
      </c>
      <c r="G14" s="22">
        <v>24.1922145</v>
      </c>
      <c r="H14" s="23">
        <v>24.724572899999995</v>
      </c>
    </row>
    <row r="15" spans="1:8" ht="13.5" thickBot="1">
      <c r="A15" s="24" t="s">
        <v>12</v>
      </c>
      <c r="B15" s="25">
        <v>128.1222554</v>
      </c>
      <c r="C15" s="25">
        <v>129.8677836</v>
      </c>
      <c r="D15" s="25">
        <v>132.6747072</v>
      </c>
      <c r="E15" s="25">
        <v>134.35673010000002</v>
      </c>
      <c r="F15" s="25">
        <v>137.96583490000003</v>
      </c>
      <c r="G15" s="25">
        <v>141.47098730000005</v>
      </c>
      <c r="H15" s="26">
        <v>144.998931</v>
      </c>
    </row>
    <row r="16" spans="1:11" ht="13.5" thickBot="1">
      <c r="A16" s="27" t="s">
        <v>13</v>
      </c>
      <c r="B16" s="28">
        <v>123.7</v>
      </c>
      <c r="C16" s="28">
        <v>124.6</v>
      </c>
      <c r="D16" s="28">
        <v>127.9</v>
      </c>
      <c r="E16" s="28">
        <v>130.9</v>
      </c>
      <c r="F16" s="28">
        <v>134.5</v>
      </c>
      <c r="G16" s="28">
        <v>137.6</v>
      </c>
      <c r="H16" s="29">
        <v>141.2</v>
      </c>
      <c r="K16" s="30"/>
    </row>
    <row r="17" spans="1:11" ht="13.5" thickBot="1">
      <c r="A17" s="27" t="s">
        <v>23</v>
      </c>
      <c r="B17" s="28">
        <v>2236.49634377</v>
      </c>
      <c r="C17" s="28">
        <v>2311.46732823</v>
      </c>
      <c r="D17" s="28">
        <v>2407.4565067099998</v>
      </c>
      <c r="E17" s="28">
        <v>2458.3872270700003</v>
      </c>
      <c r="F17" s="28">
        <v>2525.1364226600003</v>
      </c>
      <c r="G17" s="28">
        <v>2613.80607218</v>
      </c>
      <c r="H17" s="29">
        <v>2726.0575298700005</v>
      </c>
      <c r="K17" s="30"/>
    </row>
    <row r="18" spans="1:8" ht="13.5" thickBot="1">
      <c r="A18" s="21" t="s">
        <v>14</v>
      </c>
      <c r="B18" s="22">
        <v>2364.61859917</v>
      </c>
      <c r="C18" s="22">
        <v>2441.33511183</v>
      </c>
      <c r="D18" s="22">
        <v>2540.1312139099996</v>
      </c>
      <c r="E18" s="22">
        <v>2592.74395717</v>
      </c>
      <c r="F18" s="22">
        <v>2663.1022575600005</v>
      </c>
      <c r="G18" s="22">
        <v>2755.27705948</v>
      </c>
      <c r="H18" s="23">
        <v>2871.0564608700006</v>
      </c>
    </row>
    <row r="19" spans="1:10" ht="13.5" thickBot="1">
      <c r="A19" s="21" t="s">
        <v>15</v>
      </c>
      <c r="B19" s="31">
        <v>64.9747116</v>
      </c>
      <c r="C19" s="31">
        <v>65.47730320000001</v>
      </c>
      <c r="D19" s="31">
        <v>67.66379260000002</v>
      </c>
      <c r="E19" s="31">
        <v>73.45255529999999</v>
      </c>
      <c r="F19" s="31">
        <v>81.0762325</v>
      </c>
      <c r="G19" s="31">
        <v>89.089756</v>
      </c>
      <c r="H19" s="32">
        <v>96.9767197</v>
      </c>
      <c r="I19" s="37"/>
      <c r="J19" s="1"/>
    </row>
    <row r="20" spans="1:10" ht="12.75">
      <c r="A20" s="33"/>
      <c r="B20" s="19"/>
      <c r="C20" s="19"/>
      <c r="D20" s="19"/>
      <c r="E20" s="19"/>
      <c r="F20" s="19"/>
      <c r="G20" s="19"/>
      <c r="H20" s="19"/>
      <c r="J20" s="1"/>
    </row>
    <row r="21" spans="1:8" ht="12.75">
      <c r="A21" s="34" t="s">
        <v>12</v>
      </c>
      <c r="B21" s="2">
        <f aca="true" t="shared" si="0" ref="B21:H22">+B15*1000000</f>
        <v>128122255.4</v>
      </c>
      <c r="C21" s="2">
        <f t="shared" si="0"/>
        <v>129867783.6</v>
      </c>
      <c r="D21" s="2">
        <f t="shared" si="0"/>
        <v>132674707.2</v>
      </c>
      <c r="E21" s="2">
        <f t="shared" si="0"/>
        <v>134356730.10000002</v>
      </c>
      <c r="F21" s="2">
        <f t="shared" si="0"/>
        <v>137965834.90000004</v>
      </c>
      <c r="G21" s="2">
        <f t="shared" si="0"/>
        <v>141470987.30000004</v>
      </c>
      <c r="H21" s="2">
        <f t="shared" si="0"/>
        <v>144998931</v>
      </c>
    </row>
    <row r="22" spans="1:8" ht="12.75">
      <c r="A22" s="43" t="s">
        <v>13</v>
      </c>
      <c r="B22" s="44">
        <f t="shared" si="0"/>
        <v>123700000</v>
      </c>
      <c r="C22" s="44">
        <f t="shared" si="0"/>
        <v>124600000</v>
      </c>
      <c r="D22" s="44">
        <f t="shared" si="0"/>
        <v>127900000</v>
      </c>
      <c r="E22" s="44">
        <f t="shared" si="0"/>
        <v>130900000</v>
      </c>
      <c r="F22" s="44">
        <f t="shared" si="0"/>
        <v>134500000</v>
      </c>
      <c r="G22" s="44">
        <f t="shared" si="0"/>
        <v>137600000</v>
      </c>
      <c r="H22" s="44">
        <f t="shared" si="0"/>
        <v>141200000</v>
      </c>
    </row>
    <row r="24" spans="2:8" ht="12.75">
      <c r="B24" s="35"/>
      <c r="C24" s="35"/>
      <c r="D24" s="35"/>
      <c r="E24" s="35"/>
      <c r="F24" s="35"/>
      <c r="G24" s="35"/>
      <c r="H24" s="35"/>
    </row>
    <row r="25" ht="20.25">
      <c r="A25" s="8" t="s">
        <v>34</v>
      </c>
    </row>
    <row r="26" ht="14.25">
      <c r="A26" s="9" t="s">
        <v>1</v>
      </c>
    </row>
    <row r="27" ht="12.75">
      <c r="A27" s="10">
        <v>38609</v>
      </c>
    </row>
    <row r="29" ht="13.5" thickBot="1">
      <c r="A29" s="11" t="s">
        <v>2</v>
      </c>
    </row>
    <row r="30" spans="1:8" ht="13.5" thickBot="1">
      <c r="A30" s="12"/>
      <c r="B30" s="13">
        <v>2006</v>
      </c>
      <c r="C30" s="13">
        <v>2009</v>
      </c>
      <c r="D30" s="13">
        <v>2012</v>
      </c>
      <c r="E30" s="13">
        <v>2015</v>
      </c>
      <c r="F30" s="13">
        <v>2018</v>
      </c>
      <c r="G30" s="13">
        <v>2021</v>
      </c>
      <c r="H30" s="14">
        <v>2024</v>
      </c>
    </row>
    <row r="31" spans="1:8" ht="12.75">
      <c r="A31" s="15" t="s">
        <v>3</v>
      </c>
      <c r="B31" s="16">
        <v>25.4293266</v>
      </c>
      <c r="C31" s="16">
        <v>23.594871400000006</v>
      </c>
      <c r="D31" s="16">
        <v>23.447819199999998</v>
      </c>
      <c r="E31" s="16">
        <v>23.191017800000008</v>
      </c>
      <c r="F31" s="16">
        <v>24.268328800000006</v>
      </c>
      <c r="G31" s="16">
        <v>25.33457570000001</v>
      </c>
      <c r="H31" s="17">
        <v>26.107306100000006</v>
      </c>
    </row>
    <row r="32" spans="1:8" ht="12.75">
      <c r="A32" s="18" t="s">
        <v>4</v>
      </c>
      <c r="B32" s="19">
        <v>10.6039865</v>
      </c>
      <c r="C32" s="19">
        <v>11.8011724</v>
      </c>
      <c r="D32" s="19">
        <v>12.5802149</v>
      </c>
      <c r="E32" s="19">
        <v>12.362576200000003</v>
      </c>
      <c r="F32" s="19">
        <v>12.733844200000005</v>
      </c>
      <c r="G32" s="19">
        <v>13.533952900000006</v>
      </c>
      <c r="H32" s="20">
        <v>14.136770700000003</v>
      </c>
    </row>
    <row r="33" spans="1:8" ht="12.75">
      <c r="A33" s="18" t="s">
        <v>5</v>
      </c>
      <c r="B33" s="19">
        <v>1.9778368</v>
      </c>
      <c r="C33" s="19">
        <v>2.0679646</v>
      </c>
      <c r="D33" s="19">
        <v>2.4923338999999998</v>
      </c>
      <c r="E33" s="19">
        <v>2.3544717</v>
      </c>
      <c r="F33" s="19">
        <v>2.1424204</v>
      </c>
      <c r="G33" s="19">
        <v>1.7931202999999998</v>
      </c>
      <c r="H33" s="20">
        <v>1.8310248</v>
      </c>
    </row>
    <row r="34" spans="1:8" ht="12.75">
      <c r="A34" s="18" t="s">
        <v>6</v>
      </c>
      <c r="B34" s="19">
        <v>5.372418100000001</v>
      </c>
      <c r="C34" s="19">
        <v>5.268605099999999</v>
      </c>
      <c r="D34" s="19">
        <v>4.8816888</v>
      </c>
      <c r="E34" s="19">
        <v>5.193514299999999</v>
      </c>
      <c r="F34" s="19">
        <v>4.9530079</v>
      </c>
      <c r="G34" s="19">
        <v>4.9153158999999995</v>
      </c>
      <c r="H34" s="20">
        <v>4.540106</v>
      </c>
    </row>
    <row r="35" spans="1:8" ht="12.75">
      <c r="A35" s="18" t="s">
        <v>7</v>
      </c>
      <c r="B35" s="19">
        <v>1.5847455</v>
      </c>
      <c r="C35" s="19">
        <v>1.4476873999999997</v>
      </c>
      <c r="D35" s="19">
        <v>1.859649</v>
      </c>
      <c r="E35" s="19">
        <v>1.953239</v>
      </c>
      <c r="F35" s="19">
        <v>1.9026143000000002</v>
      </c>
      <c r="G35" s="19">
        <v>1.7179441999999998</v>
      </c>
      <c r="H35" s="20">
        <v>1.7179441999999998</v>
      </c>
    </row>
    <row r="36" spans="1:8" ht="12.75">
      <c r="A36" s="18" t="s">
        <v>8</v>
      </c>
      <c r="B36" s="19">
        <v>0</v>
      </c>
      <c r="C36" s="19">
        <v>0.0272098</v>
      </c>
      <c r="D36" s="19">
        <v>0.0272098</v>
      </c>
      <c r="E36" s="19">
        <v>0.031506099999999995</v>
      </c>
      <c r="F36" s="19">
        <v>0.031506099999999995</v>
      </c>
      <c r="G36" s="19">
        <v>0.036757099999999994</v>
      </c>
      <c r="H36" s="20">
        <v>0.036757099999999994</v>
      </c>
    </row>
    <row r="37" spans="1:8" ht="12.75">
      <c r="A37" s="18" t="s">
        <v>9</v>
      </c>
      <c r="B37" s="19">
        <v>55.6465536</v>
      </c>
      <c r="C37" s="19">
        <v>55.83668180000001</v>
      </c>
      <c r="D37" s="19">
        <v>55.3554949</v>
      </c>
      <c r="E37" s="19">
        <v>54.362508999999996</v>
      </c>
      <c r="F37" s="19">
        <v>55.4589186</v>
      </c>
      <c r="G37" s="19">
        <v>56.44009990000001</v>
      </c>
      <c r="H37" s="20">
        <v>57.59892630000001</v>
      </c>
    </row>
    <row r="38" spans="1:8" ht="12.75">
      <c r="A38" s="18" t="s">
        <v>10</v>
      </c>
      <c r="B38" s="19">
        <v>8.955809599999998</v>
      </c>
      <c r="C38" s="19">
        <v>10.7280366</v>
      </c>
      <c r="D38" s="19">
        <v>13.217529699999998</v>
      </c>
      <c r="E38" s="19">
        <v>13.4956466</v>
      </c>
      <c r="F38" s="19">
        <v>13.137074700000001</v>
      </c>
      <c r="G38" s="19">
        <v>13.109242400000001</v>
      </c>
      <c r="H38" s="20">
        <v>13.873504800000001</v>
      </c>
    </row>
    <row r="39" spans="1:8" ht="13.5" thickBot="1">
      <c r="A39" s="21" t="s">
        <v>11</v>
      </c>
      <c r="B39" s="22">
        <v>18.5520928</v>
      </c>
      <c r="C39" s="22">
        <v>18.938318099999996</v>
      </c>
      <c r="D39" s="22">
        <v>18.5310088</v>
      </c>
      <c r="E39" s="22">
        <v>21.077806900000002</v>
      </c>
      <c r="F39" s="22">
        <v>22.639356600000003</v>
      </c>
      <c r="G39" s="22">
        <v>23.7968872</v>
      </c>
      <c r="H39" s="23">
        <v>24.445932</v>
      </c>
    </row>
    <row r="40" spans="1:8" ht="13.5" thickBot="1">
      <c r="A40" s="24" t="s">
        <v>12</v>
      </c>
      <c r="B40" s="25">
        <v>128.1227695</v>
      </c>
      <c r="C40" s="25">
        <v>129.7105472</v>
      </c>
      <c r="D40" s="25">
        <v>132.392949</v>
      </c>
      <c r="E40" s="25">
        <v>134.0222876</v>
      </c>
      <c r="F40" s="25">
        <v>137.26707160000004</v>
      </c>
      <c r="G40" s="25">
        <v>140.6778956</v>
      </c>
      <c r="H40" s="26">
        <v>144.28827200000003</v>
      </c>
    </row>
    <row r="41" spans="1:8" ht="13.5" thickBot="1">
      <c r="A41" s="27" t="s">
        <v>13</v>
      </c>
      <c r="B41" s="28">
        <v>123.7</v>
      </c>
      <c r="C41" s="28">
        <v>124.4</v>
      </c>
      <c r="D41" s="28">
        <v>127.6</v>
      </c>
      <c r="E41" s="28">
        <v>130.6</v>
      </c>
      <c r="F41" s="28">
        <v>133.8</v>
      </c>
      <c r="G41" s="28">
        <v>136.8</v>
      </c>
      <c r="H41" s="29">
        <v>140.5</v>
      </c>
    </row>
    <row r="42" spans="1:8" ht="13.5" thickBot="1">
      <c r="A42" s="27" t="s">
        <v>23</v>
      </c>
      <c r="B42" s="28">
        <v>2236.48205867</v>
      </c>
      <c r="C42" s="28">
        <v>2311.5213785600004</v>
      </c>
      <c r="D42" s="28">
        <v>2407.40652698</v>
      </c>
      <c r="E42" s="28">
        <v>2458.3522760199994</v>
      </c>
      <c r="F42" s="28">
        <v>2525.2074697600005</v>
      </c>
      <c r="G42" s="28">
        <v>2613.5558396</v>
      </c>
      <c r="H42" s="29">
        <v>2725.6387400500003</v>
      </c>
    </row>
    <row r="43" spans="1:8" ht="13.5" thickBot="1">
      <c r="A43" s="21" t="s">
        <v>14</v>
      </c>
      <c r="B43" s="22">
        <v>2364.60482817</v>
      </c>
      <c r="C43" s="22">
        <v>2441.23192576</v>
      </c>
      <c r="D43" s="22">
        <v>2539.79947598</v>
      </c>
      <c r="E43" s="22">
        <v>2592.374563619999</v>
      </c>
      <c r="F43" s="22">
        <v>2662.474541360001</v>
      </c>
      <c r="G43" s="22">
        <v>2754.2337352</v>
      </c>
      <c r="H43" s="23">
        <v>2869.9270120500005</v>
      </c>
    </row>
    <row r="44" spans="1:8" ht="13.5" thickBot="1">
      <c r="A44" s="21" t="s">
        <v>15</v>
      </c>
      <c r="B44" s="31">
        <v>64.9747067</v>
      </c>
      <c r="C44" s="31">
        <v>65.47730320000001</v>
      </c>
      <c r="D44" s="31">
        <v>67.69211790000001</v>
      </c>
      <c r="E44" s="31">
        <v>73.3754379</v>
      </c>
      <c r="F44" s="31">
        <v>80.977625</v>
      </c>
      <c r="G44" s="31">
        <v>89.0536355</v>
      </c>
      <c r="H44" s="32">
        <v>97.01179250000001</v>
      </c>
    </row>
    <row r="46" spans="1:8" ht="12.75">
      <c r="A46" s="34" t="s">
        <v>12</v>
      </c>
      <c r="B46" s="2">
        <f aca="true" t="shared" si="1" ref="B46:H46">+B40*1000000</f>
        <v>128122769.5</v>
      </c>
      <c r="C46" s="2">
        <f t="shared" si="1"/>
        <v>129710547.2</v>
      </c>
      <c r="D46" s="2">
        <f t="shared" si="1"/>
        <v>132392948.99999999</v>
      </c>
      <c r="E46" s="2">
        <f t="shared" si="1"/>
        <v>134022287.6</v>
      </c>
      <c r="F46" s="2">
        <f t="shared" si="1"/>
        <v>137267071.60000002</v>
      </c>
      <c r="G46" s="2">
        <f t="shared" si="1"/>
        <v>140677895.6</v>
      </c>
      <c r="H46" s="2">
        <f t="shared" si="1"/>
        <v>144288272.00000003</v>
      </c>
    </row>
    <row r="47" spans="1:8" ht="12.75">
      <c r="A47" s="43" t="s">
        <v>13</v>
      </c>
      <c r="B47" s="44">
        <f aca="true" t="shared" si="2" ref="B47:H47">+B41*1000000</f>
        <v>123700000</v>
      </c>
      <c r="C47" s="44">
        <f t="shared" si="2"/>
        <v>124400000</v>
      </c>
      <c r="D47" s="44">
        <f t="shared" si="2"/>
        <v>127600000</v>
      </c>
      <c r="E47" s="44">
        <f t="shared" si="2"/>
        <v>130600000</v>
      </c>
      <c r="F47" s="44">
        <f t="shared" si="2"/>
        <v>133800000.00000001</v>
      </c>
      <c r="G47" s="44">
        <f t="shared" si="2"/>
        <v>136800000</v>
      </c>
      <c r="H47" s="44">
        <f t="shared" si="2"/>
        <v>140500000</v>
      </c>
    </row>
  </sheetData>
  <printOptions/>
  <pageMargins left="0.75" right="0.75" top="1" bottom="1" header="0.5" footer="0.5"/>
  <pageSetup horizontalDpi="600" verticalDpi="600" orientation="portrait" scale="70" r:id="rId1"/>
  <headerFooter alignWithMargins="0">
    <oddFooter>&amp;L&amp;F
&amp;D&amp;T&amp;C&amp;A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CTDEP-NJDEP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CNelson-CSherry</dc:creator>
  <cp:keywords/>
  <dc:description/>
  <cp:lastModifiedBy>NJDEP</cp:lastModifiedBy>
  <cp:lastPrinted>2006-04-24T20:54:12Z</cp:lastPrinted>
  <dcterms:created xsi:type="dcterms:W3CDTF">2005-06-03T16:58:37Z</dcterms:created>
  <dcterms:modified xsi:type="dcterms:W3CDTF">2006-04-24T20:54:33Z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