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Governance/ProgramCommittee/Program Committee 2025/2025-03-26/"/>
    </mc:Choice>
  </mc:AlternateContent>
  <xr:revisionPtr revIDLastSave="63" documentId="13_ncr:1_{7E5205C1-A4B9-42F9-AAC0-5064C4FD80D9}" xr6:coauthVersionLast="47" xr6:coauthVersionMax="47" xr10:uidLastSave="{6A59471A-D4A4-4E17-8DB7-706DF646D6E3}"/>
  <bookViews>
    <workbookView xWindow="-108" yWindow="-108" windowWidth="23256" windowHeight="1389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Numbers!$A$1:$J$24</definedName>
    <definedName name="_xlnm.Print_Area" localSheetId="1">Percentage!$A$1:$J$24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E9" i="1"/>
  <c r="J11" i="1"/>
  <c r="I11" i="1"/>
  <c r="J9" i="1"/>
  <c r="I13" i="1" l="1"/>
  <c r="E13" i="1"/>
  <c r="H9" i="1"/>
  <c r="H7" i="1"/>
  <c r="I7" i="1"/>
  <c r="B2" i="2"/>
  <c r="B7" i="2"/>
  <c r="F18" i="1"/>
  <c r="E17" i="1"/>
  <c r="E16" i="1"/>
  <c r="E15" i="1"/>
  <c r="E14" i="1"/>
  <c r="E12" i="1"/>
  <c r="E11" i="1"/>
  <c r="E10" i="1"/>
  <c r="E8" i="1"/>
  <c r="E7" i="1"/>
  <c r="I14" i="1"/>
  <c r="I10" i="1" l="1"/>
  <c r="E18" i="1"/>
  <c r="B18" i="1"/>
  <c r="D18" i="1" l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3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17" i="2"/>
  <c r="E7" i="2"/>
  <c r="G18" i="2"/>
  <c r="K18" i="2"/>
  <c r="F7" i="2" l="1"/>
  <c r="F8" i="2"/>
  <c r="F9" i="2"/>
  <c r="F10" i="2"/>
  <c r="F11" i="2"/>
  <c r="F12" i="2"/>
  <c r="F13" i="2"/>
  <c r="F14" i="2"/>
  <c r="F15" i="2"/>
  <c r="F16" i="2"/>
  <c r="F17" i="2"/>
  <c r="F18" i="2" l="1"/>
  <c r="D17" i="2"/>
  <c r="C17" i="2"/>
  <c r="B17" i="2"/>
  <c r="C18" i="1"/>
  <c r="G18" i="1"/>
  <c r="H18" i="1"/>
  <c r="H18" i="2" s="1"/>
  <c r="J18" i="1"/>
  <c r="K18" i="1"/>
  <c r="B18" i="2"/>
  <c r="J18" i="2" l="1"/>
  <c r="E18" i="2"/>
  <c r="I18" i="1" l="1"/>
  <c r="I18" i="2" s="1"/>
  <c r="D18" i="2" l="1"/>
  <c r="B13" i="2"/>
  <c r="C13" i="2"/>
  <c r="D13" i="2"/>
  <c r="D14" i="2"/>
  <c r="D15" i="2"/>
  <c r="D16" i="2"/>
  <c r="C14" i="2"/>
  <c r="C15" i="2"/>
  <c r="C16" i="2"/>
  <c r="B14" i="2"/>
  <c r="B15" i="2"/>
  <c r="B16" i="2"/>
  <c r="D8" i="2"/>
  <c r="D11" i="2"/>
  <c r="D12" i="2"/>
  <c r="C18" i="2"/>
  <c r="C7" i="2"/>
  <c r="D7" i="2"/>
  <c r="C8" i="2"/>
  <c r="C9" i="2"/>
  <c r="D9" i="2"/>
  <c r="C10" i="2"/>
  <c r="D10" i="2"/>
  <c r="C11" i="2"/>
  <c r="C12" i="2"/>
  <c r="B8" i="2"/>
  <c r="B9" i="2"/>
  <c r="B10" i="2"/>
  <c r="B11" i="2"/>
  <c r="B12" i="2"/>
  <c r="A4" i="2"/>
  <c r="A1" i="2"/>
  <c r="I19" i="1"/>
</calcChain>
</file>

<file path=xl/sharedStrings.xml><?xml version="1.0" encoding="utf-8"?>
<sst xmlns="http://schemas.openxmlformats.org/spreadsheetml/2006/main" count="106" uniqueCount="37">
  <si>
    <r>
      <t>Distribution of 2023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</si>
  <si>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</si>
  <si>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</si>
  <si>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VY2023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</si>
  <si>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</si>
  <si>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</si>
  <si>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</si>
  <si>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</si>
  <si>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</si>
  <si>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</si>
  <si>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</si>
  <si>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</si>
  <si>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</si>
  <si>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</si>
  <si>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</si>
  <si>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</si>
  <si>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</si>
  <si>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</si>
  <si>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</si>
  <si>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</si>
  <si>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Massachusetts</t>
  </si>
  <si>
    <t>New Hampshire</t>
  </si>
  <si>
    <t>New Jersey</t>
  </si>
  <si>
    <t>New York</t>
  </si>
  <si>
    <t>Rhode Island</t>
  </si>
  <si>
    <t>Vermont</t>
  </si>
  <si>
    <t>Virginia</t>
  </si>
  <si>
    <t>Total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</si>
  <si>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</si>
  <si>
    <r>
      <rPr>
        <vertAlign val="superscript"/>
        <sz val="9.5"/>
        <rFont val="Arial"/>
        <family val="2"/>
      </rPr>
      <t>2</t>
    </r>
    <r>
      <rPr>
        <sz val="9.5"/>
        <rFont val="Arial"/>
        <family val="2"/>
      </rPr>
      <t xml:space="preserve"> A total of 5,565,291 Cost Containtment Reserve (CCR) Allowances were distributed in Auction 62. More information available at </t>
    </r>
    <r>
      <rPr>
        <u/>
        <sz val="9.5"/>
        <color theme="10"/>
        <rFont val="Arial"/>
        <family val="2"/>
      </rPr>
      <t>https://www.rggi.org/auctions/auction-results</t>
    </r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</si>
  <si>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</si>
  <si>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2023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2023.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</si>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</sst>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6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wrapText="1"/>
    </xf>
    <xf numFmtId="0" fontId="20" fillId="2" borderId="0" xfId="0" applyFont="1" applyFill="1"/>
    <xf numFmtId="0" fontId="21" fillId="2" borderId="0" xfId="0" applyFont="1" applyFill="1" applyAlignment="1">
      <alignment wrapText="1"/>
    </xf>
    <xf numFmtId="14" fontId="20" fillId="2" borderId="0" xfId="0" applyNumberFormat="1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0" fillId="2" borderId="0" xfId="0" applyFill="1"/>
    <xf numFmtId="0" fontId="19" fillId="2" borderId="0" xfId="0" applyFont="1" applyFill="1"/>
    <xf numFmtId="164" fontId="19" fillId="2" borderId="0" xfId="0" applyNumberFormat="1" applyFont="1" applyFill="1" applyAlignment="1">
      <alignment wrapText="1"/>
    </xf>
    <xf numFmtId="0" fontId="19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9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0" fontId="22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16" fillId="2" borderId="1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wrapText="1"/>
    </xf>
    <xf numFmtId="3" fontId="23" fillId="2" borderId="1" xfId="1" applyNumberFormat="1" applyFont="1" applyFill="1" applyBorder="1" applyAlignment="1">
      <alignment horizontal="right" wrapText="1"/>
    </xf>
    <xf numFmtId="3" fontId="16" fillId="2" borderId="1" xfId="1" applyNumberFormat="1" applyFont="1" applyFill="1" applyBorder="1" applyAlignment="1">
      <alignment wrapText="1"/>
    </xf>
    <xf numFmtId="10" fontId="16" fillId="2" borderId="1" xfId="1" applyNumberFormat="1" applyFont="1" applyFill="1" applyBorder="1" applyAlignment="1">
      <alignment wrapText="1"/>
    </xf>
    <xf numFmtId="3" fontId="16" fillId="2" borderId="1" xfId="1" applyNumberFormat="1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64" fontId="19" fillId="2" borderId="4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horizontal="right" wrapText="1"/>
    </xf>
    <xf numFmtId="164" fontId="16" fillId="2" borderId="1" xfId="1" applyNumberFormat="1" applyFont="1" applyFill="1" applyBorder="1" applyAlignment="1">
      <alignment horizontal="right" wrapText="1"/>
    </xf>
    <xf numFmtId="3" fontId="23" fillId="0" borderId="1" xfId="1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7" fontId="19" fillId="2" borderId="4" xfId="1" applyNumberFormat="1" applyFont="1" applyFill="1" applyBorder="1" applyAlignment="1">
      <alignment horizontal="right" wrapText="1"/>
    </xf>
    <xf numFmtId="3" fontId="16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0" fontId="19" fillId="2" borderId="21" xfId="0" applyFont="1" applyFill="1" applyBorder="1" applyAlignment="1">
      <alignment horizontal="left"/>
    </xf>
    <xf numFmtId="164" fontId="16" fillId="2" borderId="22" xfId="1" applyNumberFormat="1" applyFont="1" applyFill="1" applyBorder="1" applyAlignment="1">
      <alignment horizontal="right" wrapText="1"/>
    </xf>
    <xf numFmtId="3" fontId="16" fillId="2" borderId="22" xfId="1" applyNumberFormat="1" applyFont="1" applyFill="1" applyBorder="1" applyAlignment="1">
      <alignment horizontal="right" wrapText="1"/>
    </xf>
    <xf numFmtId="3" fontId="16" fillId="2" borderId="23" xfId="1" applyNumberFormat="1" applyFont="1" applyFill="1" applyBorder="1" applyAlignment="1">
      <alignment horizontal="right" vertical="center" wrapText="1"/>
    </xf>
    <xf numFmtId="37" fontId="19" fillId="2" borderId="6" xfId="1" applyNumberFormat="1" applyFont="1" applyFill="1" applyBorder="1" applyAlignment="1">
      <alignment horizontal="right" wrapText="1"/>
    </xf>
    <xf numFmtId="10" fontId="19" fillId="2" borderId="6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wrapText="1"/>
    </xf>
    <xf numFmtId="0" fontId="24" fillId="0" borderId="2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3" fontId="19" fillId="2" borderId="4" xfId="4" applyNumberFormat="1" applyFont="1" applyFill="1" applyBorder="1" applyAlignment="1">
      <alignment horizontal="right" wrapText="1"/>
    </xf>
    <xf numFmtId="3" fontId="29" fillId="2" borderId="4" xfId="1" applyNumberFormat="1" applyFont="1" applyFill="1" applyBorder="1" applyAlignment="1">
      <alignment horizontal="right" wrapText="1"/>
    </xf>
    <xf numFmtId="3" fontId="0" fillId="0" borderId="0" xfId="0" applyNumberFormat="1"/>
    <xf numFmtId="0" fontId="27" fillId="2" borderId="0" xfId="2" applyFont="1" applyFill="1" applyBorder="1" applyAlignment="1" applyProtection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5" fillId="2" borderId="10" xfId="2" applyFont="1" applyFill="1" applyBorder="1" applyAlignment="1" applyProtection="1">
      <alignment horizontal="left" vertical="center" wrapText="1"/>
    </xf>
    <xf numFmtId="0" fontId="25" fillId="2" borderId="0" xfId="2" applyFont="1" applyFill="1" applyBorder="1" applyAlignment="1" applyProtection="1">
      <alignment horizontal="left" vertical="center" wrapText="1"/>
    </xf>
    <xf numFmtId="0" fontId="25" fillId="2" borderId="11" xfId="2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4" fillId="0" borderId="0" xfId="2" applyFont="1" applyFill="1" applyBorder="1" applyAlignment="1" applyProtection="1">
      <alignment horizontal="left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</cellXfs>
  <cellStyles count="5">
    <cellStyle name="Normal 3" xfId="3" xr:uid="{00000000-0005-0000-0000-000003000000}"/>
    <cellStyle name="一般" xfId="0" builtinId="0"/>
    <cellStyle name="千分位" xfId="1" builtinId="3"/>
    <cellStyle name="百分比" xfId="4" builtinId="5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644333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401420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537883</xdr:colOff>
      <xdr:row>0</xdr:row>
      <xdr:rowOff>1583773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rggi.org/sites/default/files/Uploads/Allowance-Tracking/States_Set-Aside_Accounts.pdf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ggi.org/auctions/auction-resul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ggi.org/auctions/auction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zoomScaleSheetLayoutView="85" workbookViewId="0">
      <selection activeCell="D1" sqref="D1"/>
    </sheetView>
  </sheetViews>
  <sheetFormatPr defaultColWidth="9.28515625" defaultRowHeight="14.45"/>
  <cols>
    <col min="1" max="1" width="16.7109375" style="1" customWidth="1"/>
    <col min="2" max="9" width="15.7109375" style="1" customWidth="1"/>
    <col min="10" max="10" width="13.7109375" style="1" customWidth="1"/>
    <col min="11" max="11" width="11.42578125" style="1" customWidth="1"/>
    <col min="12" max="16384" width="9.28515625" style="1"/>
  </cols>
  <sheetData>
    <row r="1" spans="1:11" s="6" customFormat="1" ht="151.9" customHeight="1">
      <c r="A1" s="10" t="s">
        <v>0</v>
      </c>
      <c r="B1" s="2"/>
      <c r="C1" s="2"/>
      <c r="D1" s="2"/>
      <c r="E1" s="2"/>
      <c r="F1" s="2"/>
      <c r="G1" s="2"/>
      <c r="H1" s="2"/>
    </row>
    <row r="2" spans="1:11" ht="16.899999999999999" customHeight="1">
      <c r="A2" s="3" t="s">
        <v>1</v>
      </c>
      <c r="B2" s="15">
        <v>45747</v>
      </c>
      <c r="C2" s="4"/>
      <c r="D2" s="5"/>
      <c r="E2" s="5"/>
      <c r="F2" s="5"/>
      <c r="G2" s="5"/>
      <c r="H2" s="5"/>
    </row>
    <row r="3" spans="1:11" ht="18" customHeight="1" thickBot="1">
      <c r="A3" s="48" t="s">
        <v>2</v>
      </c>
      <c r="B3" s="48"/>
      <c r="C3" s="48"/>
      <c r="D3" s="48"/>
      <c r="E3" s="48"/>
      <c r="F3" s="48"/>
      <c r="G3" s="48"/>
      <c r="H3" s="48"/>
    </row>
    <row r="4" spans="1:11" ht="21.75" customHeight="1" thickBot="1">
      <c r="A4" s="51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11" ht="25.5" customHeight="1">
      <c r="A5" s="62" t="s">
        <v>4</v>
      </c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11</v>
      </c>
      <c r="I5" s="49" t="s">
        <v>12</v>
      </c>
      <c r="J5" s="49" t="s">
        <v>13</v>
      </c>
      <c r="K5" s="60" t="s">
        <v>14</v>
      </c>
    </row>
    <row r="6" spans="1:11" ht="36.75" customHeight="1">
      <c r="A6" s="63"/>
      <c r="B6" s="50"/>
      <c r="C6" s="50"/>
      <c r="D6" s="50"/>
      <c r="E6" s="50"/>
      <c r="F6" s="50"/>
      <c r="G6" s="50"/>
      <c r="H6" s="50"/>
      <c r="I6" s="50"/>
      <c r="J6" s="50"/>
      <c r="K6" s="61"/>
    </row>
    <row r="7" spans="1:11" s="11" customFormat="1" ht="17.25" customHeight="1">
      <c r="A7" s="24" t="s">
        <v>15</v>
      </c>
      <c r="B7" s="29">
        <v>4566218</v>
      </c>
      <c r="C7" s="29">
        <v>774787</v>
      </c>
      <c r="D7" s="29">
        <v>3791431</v>
      </c>
      <c r="E7" s="31">
        <f>905205+905205+49760+905205+905203</f>
        <v>3670578</v>
      </c>
      <c r="F7" s="31">
        <v>225972</v>
      </c>
      <c r="G7" s="18" t="s">
        <v>16</v>
      </c>
      <c r="H7" s="18">
        <f>7111+56871</f>
        <v>63982</v>
      </c>
      <c r="I7" s="30">
        <f>170613-49760-7111-56871-56871</f>
        <v>0</v>
      </c>
      <c r="J7" s="18">
        <v>56871</v>
      </c>
      <c r="K7" s="33">
        <v>0</v>
      </c>
    </row>
    <row r="8" spans="1:11" s="11" customFormat="1" ht="17.25" customHeight="1">
      <c r="A8" s="24" t="s">
        <v>17</v>
      </c>
      <c r="B8" s="29">
        <v>3178264</v>
      </c>
      <c r="C8" s="29">
        <v>539282</v>
      </c>
      <c r="D8" s="29">
        <v>2638982</v>
      </c>
      <c r="E8" s="31">
        <f>659746+659746+659746+659744</f>
        <v>2638982</v>
      </c>
      <c r="F8" s="31">
        <v>157285</v>
      </c>
      <c r="G8" s="21" t="s">
        <v>16</v>
      </c>
      <c r="H8" s="27" t="s">
        <v>16</v>
      </c>
      <c r="I8" s="27" t="s">
        <v>16</v>
      </c>
      <c r="J8" s="27" t="s">
        <v>16</v>
      </c>
      <c r="K8" s="33">
        <v>0</v>
      </c>
    </row>
    <row r="9" spans="1:11" s="11" customFormat="1" ht="17.25" customHeight="1">
      <c r="A9" s="42" t="s">
        <v>18</v>
      </c>
      <c r="B9" s="29">
        <v>2569587</v>
      </c>
      <c r="C9" s="29">
        <v>435697</v>
      </c>
      <c r="D9" s="29">
        <v>2133890</v>
      </c>
      <c r="E9" s="31">
        <f>472803+472803+472803+472803+142353+39371</f>
        <v>2072936</v>
      </c>
      <c r="F9" s="31">
        <v>127163</v>
      </c>
      <c r="G9" s="18" t="s">
        <v>16</v>
      </c>
      <c r="H9" s="18">
        <f>57647</f>
        <v>57647</v>
      </c>
      <c r="I9" s="30">
        <f>242678-142353-57647-3307-39371</f>
        <v>0</v>
      </c>
      <c r="J9" s="21">
        <f>3307</f>
        <v>3307</v>
      </c>
      <c r="K9" s="33">
        <v>0</v>
      </c>
    </row>
    <row r="10" spans="1:11" s="11" customFormat="1" ht="17.25" customHeight="1">
      <c r="A10" s="24" t="s">
        <v>19</v>
      </c>
      <c r="B10" s="29">
        <v>15772679</v>
      </c>
      <c r="C10" s="29">
        <v>2676277</v>
      </c>
      <c r="D10" s="29">
        <v>13096402</v>
      </c>
      <c r="E10" s="31">
        <f>2596685+2616709+2616709+2616709</f>
        <v>10446812</v>
      </c>
      <c r="F10" s="31">
        <v>780554</v>
      </c>
      <c r="G10" s="18">
        <v>36407</v>
      </c>
      <c r="H10" s="18">
        <v>0</v>
      </c>
      <c r="I10" s="30">
        <f>2649590-36407</f>
        <v>2613183</v>
      </c>
      <c r="J10" s="21">
        <v>0</v>
      </c>
      <c r="K10" s="34">
        <v>0</v>
      </c>
    </row>
    <row r="11" spans="1:11" s="11" customFormat="1" ht="17.25" customHeight="1">
      <c r="A11" s="24" t="s">
        <v>20</v>
      </c>
      <c r="B11" s="29">
        <v>11220454</v>
      </c>
      <c r="C11" s="29">
        <v>1903865</v>
      </c>
      <c r="D11" s="29">
        <v>9316589</v>
      </c>
      <c r="E11" s="31">
        <f>2228337+2228337+2228337+2228337</f>
        <v>8913348</v>
      </c>
      <c r="F11" s="31">
        <v>555276</v>
      </c>
      <c r="G11" s="18" t="s">
        <v>16</v>
      </c>
      <c r="H11" s="18">
        <v>0</v>
      </c>
      <c r="I11" s="18">
        <f>163397-163397</f>
        <v>0</v>
      </c>
      <c r="J11" s="18">
        <f>239844+163397</f>
        <v>403241</v>
      </c>
      <c r="K11" s="33" t="s">
        <v>16</v>
      </c>
    </row>
    <row r="12" spans="1:11" s="11" customFormat="1" ht="17.25" customHeight="1">
      <c r="A12" s="24" t="s">
        <v>21</v>
      </c>
      <c r="B12" s="29">
        <v>3723549</v>
      </c>
      <c r="C12" s="29">
        <v>631362</v>
      </c>
      <c r="D12" s="29">
        <v>3092187</v>
      </c>
      <c r="E12" s="31">
        <f>754429+754429+754429+754430</f>
        <v>3017717</v>
      </c>
      <c r="F12" s="31">
        <v>184270</v>
      </c>
      <c r="G12" s="18" t="s">
        <v>16</v>
      </c>
      <c r="H12" s="18">
        <v>0</v>
      </c>
      <c r="I12" s="46">
        <v>74470</v>
      </c>
      <c r="J12" s="21">
        <v>0</v>
      </c>
      <c r="K12" s="33" t="s">
        <v>16</v>
      </c>
    </row>
    <row r="13" spans="1:11" s="11" customFormat="1" ht="17.25" customHeight="1">
      <c r="A13" s="24" t="s">
        <v>22</v>
      </c>
      <c r="B13" s="29">
        <v>16380000</v>
      </c>
      <c r="C13" s="29">
        <v>2783029</v>
      </c>
      <c r="D13" s="29">
        <v>13596971</v>
      </c>
      <c r="E13" s="31">
        <f>3009395+3009395+3009395+3009395+82581+82581+82580</f>
        <v>12285322</v>
      </c>
      <c r="F13" s="31">
        <v>810611</v>
      </c>
      <c r="G13" s="18">
        <v>0</v>
      </c>
      <c r="H13" s="18">
        <v>0</v>
      </c>
      <c r="I13" s="18">
        <f>165161-82581-82580</f>
        <v>0</v>
      </c>
      <c r="J13" s="21">
        <v>1311649</v>
      </c>
      <c r="K13" s="33">
        <v>0</v>
      </c>
    </row>
    <row r="14" spans="1:11" s="11" customFormat="1" ht="17.25" customHeight="1">
      <c r="A14" s="24" t="s">
        <v>23</v>
      </c>
      <c r="B14" s="29">
        <v>27295284</v>
      </c>
      <c r="C14" s="29">
        <v>4631411</v>
      </c>
      <c r="D14" s="29">
        <v>22663873</v>
      </c>
      <c r="E14" s="31">
        <f>5065968+5065968+5065968+5065969</f>
        <v>20263873</v>
      </c>
      <c r="F14" s="31">
        <v>1350784</v>
      </c>
      <c r="G14" s="18" t="s">
        <v>16</v>
      </c>
      <c r="H14" s="18">
        <v>962574</v>
      </c>
      <c r="I14" s="18">
        <f>2400000-962574</f>
        <v>1437426</v>
      </c>
      <c r="J14" s="21">
        <v>0</v>
      </c>
      <c r="K14" s="33">
        <v>0</v>
      </c>
    </row>
    <row r="15" spans="1:11" s="11" customFormat="1" ht="17.25" customHeight="1">
      <c r="A15" s="24" t="s">
        <v>24</v>
      </c>
      <c r="B15" s="29">
        <v>1763884</v>
      </c>
      <c r="C15" s="29">
        <v>299292</v>
      </c>
      <c r="D15" s="29">
        <v>1464592</v>
      </c>
      <c r="E15" s="31">
        <f>361738+361738+361738+361739</f>
        <v>1446953</v>
      </c>
      <c r="F15" s="31">
        <v>87293</v>
      </c>
      <c r="G15" s="18" t="s">
        <v>16</v>
      </c>
      <c r="H15" s="18">
        <v>0</v>
      </c>
      <c r="I15" s="21">
        <v>17639</v>
      </c>
      <c r="J15" s="21">
        <v>0</v>
      </c>
      <c r="K15" s="33" t="s">
        <v>16</v>
      </c>
    </row>
    <row r="16" spans="1:11" s="11" customFormat="1" ht="17.25" customHeight="1">
      <c r="A16" s="24" t="s">
        <v>25</v>
      </c>
      <c r="B16" s="29">
        <v>507865</v>
      </c>
      <c r="C16" s="29">
        <v>86173</v>
      </c>
      <c r="D16" s="29">
        <v>421692</v>
      </c>
      <c r="E16" s="31">
        <f>104369+104369+104369+104368</f>
        <v>417475</v>
      </c>
      <c r="F16" s="31">
        <v>25133</v>
      </c>
      <c r="G16" s="18" t="s">
        <v>16</v>
      </c>
      <c r="H16" s="18">
        <v>0</v>
      </c>
      <c r="I16" s="21">
        <v>4217</v>
      </c>
      <c r="J16" s="21">
        <v>0</v>
      </c>
      <c r="K16" s="33">
        <v>0</v>
      </c>
    </row>
    <row r="17" spans="1:11" s="11" customFormat="1" ht="17.25" customHeight="1">
      <c r="A17" s="43" t="s">
        <v>26</v>
      </c>
      <c r="B17" s="36">
        <v>25480000</v>
      </c>
      <c r="C17" s="29">
        <v>4329155</v>
      </c>
      <c r="D17" s="29">
        <v>21150845</v>
      </c>
      <c r="E17" s="31">
        <f>5287712+5287711+5287711+5287711</f>
        <v>21150845</v>
      </c>
      <c r="F17" s="18">
        <v>1260950</v>
      </c>
      <c r="G17" s="21" t="s">
        <v>16</v>
      </c>
      <c r="H17" s="27" t="s">
        <v>16</v>
      </c>
      <c r="I17" s="27" t="s">
        <v>16</v>
      </c>
      <c r="J17" s="27" t="s">
        <v>16</v>
      </c>
      <c r="K17" s="38" t="s">
        <v>16</v>
      </c>
    </row>
    <row r="18" spans="1:11" s="12" customFormat="1" ht="17.25" customHeight="1" thickBot="1">
      <c r="A18" s="25" t="s">
        <v>27</v>
      </c>
      <c r="B18" s="32">
        <f t="shared" ref="B18:K18" si="0">SUM(B7:B17)</f>
        <v>112457784</v>
      </c>
      <c r="C18" s="32">
        <f t="shared" si="0"/>
        <v>19090330</v>
      </c>
      <c r="D18" s="32">
        <f t="shared" si="0"/>
        <v>93367454</v>
      </c>
      <c r="E18" s="32">
        <f t="shared" si="0"/>
        <v>86324841</v>
      </c>
      <c r="F18" s="45">
        <f>SUM(F7:F17)</f>
        <v>5565291</v>
      </c>
      <c r="G18" s="32">
        <f t="shared" si="0"/>
        <v>36407</v>
      </c>
      <c r="H18" s="32">
        <f t="shared" si="0"/>
        <v>1084203</v>
      </c>
      <c r="I18" s="32">
        <f t="shared" si="0"/>
        <v>4146935</v>
      </c>
      <c r="J18" s="32">
        <f t="shared" si="0"/>
        <v>1775068</v>
      </c>
      <c r="K18" s="39">
        <f t="shared" si="0"/>
        <v>0</v>
      </c>
    </row>
    <row r="19" spans="1:11" s="9" customFormat="1" ht="3.75" customHeight="1">
      <c r="A19" s="7"/>
      <c r="B19" s="8"/>
      <c r="C19" s="8"/>
      <c r="D19" s="8"/>
      <c r="E19" s="8"/>
      <c r="F19" s="8"/>
      <c r="G19" s="8"/>
      <c r="H19" s="8"/>
      <c r="I19" s="13">
        <f>B19-Percentage!B19</f>
        <v>0</v>
      </c>
    </row>
    <row r="20" spans="1:11" s="14" customFormat="1" ht="17.45" customHeight="1">
      <c r="A20" s="47" t="s">
        <v>28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s="14" customFormat="1" ht="17.45" customHeight="1">
      <c r="A21" s="47" t="s">
        <v>29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s="14" customFormat="1" ht="33" customHeight="1" thickBo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ht="22.5" customHeight="1" thickBot="1">
      <c r="A23" s="51" t="s">
        <v>30</v>
      </c>
      <c r="B23" s="52"/>
      <c r="C23" s="52"/>
      <c r="D23" s="52"/>
      <c r="E23" s="52"/>
      <c r="F23" s="52"/>
      <c r="G23" s="52"/>
      <c r="H23" s="52"/>
      <c r="I23" s="52"/>
      <c r="J23" s="52"/>
      <c r="K23" s="53"/>
    </row>
    <row r="24" spans="1:11" ht="106.9" customHeight="1">
      <c r="A24" s="64" t="s">
        <v>31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27" customHeight="1">
      <c r="A25" s="67" t="s">
        <v>32</v>
      </c>
      <c r="B25" s="68"/>
      <c r="C25" s="68"/>
      <c r="D25" s="68"/>
      <c r="E25" s="68"/>
      <c r="F25" s="68"/>
      <c r="G25" s="68"/>
      <c r="H25" s="68"/>
      <c r="I25" s="68"/>
      <c r="J25" s="68"/>
      <c r="K25" s="69"/>
    </row>
    <row r="26" spans="1:11" ht="16.5" customHeight="1">
      <c r="A26" s="70" t="s">
        <v>33</v>
      </c>
      <c r="B26" s="55"/>
      <c r="C26" s="55"/>
      <c r="D26" s="55"/>
      <c r="E26" s="55"/>
      <c r="F26" s="55"/>
      <c r="G26" s="55"/>
      <c r="H26" s="55"/>
      <c r="I26" s="55"/>
      <c r="J26" s="55"/>
      <c r="K26" s="56"/>
    </row>
    <row r="27" spans="1:11" ht="17.25" customHeight="1">
      <c r="A27" s="54" t="s">
        <v>34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1" ht="15.75" customHeight="1" thickBot="1">
      <c r="A28" s="57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9"/>
    </row>
  </sheetData>
  <mergeCells count="22">
    <mergeCell ref="A21:K21"/>
    <mergeCell ref="A27:K27"/>
    <mergeCell ref="A28:K28"/>
    <mergeCell ref="I5:I6"/>
    <mergeCell ref="F5:F6"/>
    <mergeCell ref="K5:K6"/>
    <mergeCell ref="C5:C6"/>
    <mergeCell ref="A5:A6"/>
    <mergeCell ref="A23:K23"/>
    <mergeCell ref="A24:K24"/>
    <mergeCell ref="A25:K25"/>
    <mergeCell ref="A26:K26"/>
    <mergeCell ref="H5:H6"/>
    <mergeCell ref="B5:B6"/>
    <mergeCell ref="J5:J6"/>
    <mergeCell ref="A22:K22"/>
    <mergeCell ref="A20:K20"/>
    <mergeCell ref="A3:H3"/>
    <mergeCell ref="E5:E6"/>
    <mergeCell ref="D5:D6"/>
    <mergeCell ref="G5:G6"/>
    <mergeCell ref="A4:K4"/>
  </mergeCells>
  <hyperlinks>
    <hyperlink ref="A20:I20" r:id="rId1" display="1On January 13, 2014, the states announced the First Control Period Interim Adjustment for Banked Allowances (FCPIABA). Additional information available at http://www.rggi.org/design" xr:uid="{00000000-0004-0000-0000-000000000000}"/>
    <hyperlink ref="A25:J25" r:id="rId2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20:K20" r:id="rId3" display="1 On March 15, 2021, the states announced the Third Adjustment for Banked Allowances (TABA). Additional information available at https://www.rggi.org/program-overview-and-design/elements." xr:uid="{167EFD31-EA7B-43C3-9E10-823B9C924772}"/>
    <hyperlink ref="A21:K21" r:id="rId4" display="2 A total of 3,919,482 Cost Containtment Reserve (CCR) Allowances were distributed in Auction 54. More information available at https://www.rggi.org/auctions/auction-results" xr:uid="{7AC3B037-4432-4C5E-ADF6-EB634F40C1D6}"/>
  </hyperlinks>
  <printOptions horizontalCentered="1" verticalCentered="1" gridLines="1"/>
  <pageMargins left="0.5" right="0.5" top="0.5" bottom="0.5" header="0.3" footer="0.3"/>
  <pageSetup scale="70" orientation="landscape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zoomScale="85" zoomScaleNormal="85" zoomScaleSheetLayoutView="85" workbookViewId="0">
      <selection activeCell="B2" sqref="B2"/>
    </sheetView>
  </sheetViews>
  <sheetFormatPr defaultColWidth="9.28515625" defaultRowHeight="14.45"/>
  <cols>
    <col min="1" max="1" width="15.28515625" style="1" customWidth="1"/>
    <col min="2" max="6" width="15.7109375" style="1" customWidth="1"/>
    <col min="7" max="7" width="13" style="1" customWidth="1"/>
    <col min="8" max="9" width="15.7109375" style="1" customWidth="1"/>
    <col min="10" max="11" width="11.28515625" style="1" customWidth="1"/>
    <col min="12" max="12" width="9.28515625" style="1"/>
    <col min="13" max="13" width="11" style="1" bestFit="1" customWidth="1"/>
    <col min="14" max="16384" width="9.28515625" style="1"/>
  </cols>
  <sheetData>
    <row r="1" spans="1:16" s="6" customFormat="1" ht="141" customHeight="1">
      <c r="A1" s="10" t="str">
        <f>Numbers!A1</f>
        <v>Distribution of 2023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>
      <c r="A2" s="3" t="s">
        <v>1</v>
      </c>
      <c r="B2" s="15">
        <f>Numbers!B2</f>
        <v>45747</v>
      </c>
      <c r="C2" s="4"/>
      <c r="D2" s="4"/>
      <c r="E2" s="5"/>
      <c r="F2" s="5"/>
      <c r="G2" s="5"/>
      <c r="H2" s="5"/>
      <c r="I2" s="5"/>
    </row>
    <row r="3" spans="1:16" ht="18.75" customHeight="1" thickBot="1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spans="1:16" ht="21.75" customHeight="1" thickBot="1">
      <c r="A4" s="72" t="str">
        <f>Numbers!A4</f>
        <v>Distribution of VY2023 CO2 Allowances By State</v>
      </c>
      <c r="B4" s="73"/>
      <c r="C4" s="73"/>
      <c r="D4" s="73"/>
      <c r="E4" s="73"/>
      <c r="F4" s="73"/>
      <c r="G4" s="73"/>
      <c r="H4" s="73"/>
      <c r="I4" s="73"/>
      <c r="J4" s="73"/>
      <c r="K4" s="74"/>
    </row>
    <row r="5" spans="1:16" ht="25.5" customHeight="1">
      <c r="A5" s="62" t="s">
        <v>4</v>
      </c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36</v>
      </c>
      <c r="I5" s="49" t="s">
        <v>12</v>
      </c>
      <c r="J5" s="49" t="s">
        <v>13</v>
      </c>
      <c r="K5" s="60" t="s">
        <v>14</v>
      </c>
    </row>
    <row r="6" spans="1:16" ht="34.15" customHeight="1">
      <c r="A6" s="63"/>
      <c r="B6" s="50"/>
      <c r="C6" s="50"/>
      <c r="D6" s="50"/>
      <c r="E6" s="50"/>
      <c r="F6" s="50"/>
      <c r="G6" s="50"/>
      <c r="H6" s="50"/>
      <c r="I6" s="50"/>
      <c r="J6" s="50"/>
      <c r="K6" s="61"/>
    </row>
    <row r="7" spans="1:16" s="11" customFormat="1" ht="17.25" customHeight="1">
      <c r="A7" s="24" t="s">
        <v>15</v>
      </c>
      <c r="B7" s="16">
        <f>Numbers!B7</f>
        <v>4566218</v>
      </c>
      <c r="C7" s="29">
        <f>Numbers!C7</f>
        <v>774787</v>
      </c>
      <c r="D7" s="29">
        <f>Numbers!D7</f>
        <v>3791431</v>
      </c>
      <c r="E7" s="17">
        <f>Numbers!E7/Numbers!D7</f>
        <v>0.96812470014619811</v>
      </c>
      <c r="F7" s="19">
        <f>Numbers!F7</f>
        <v>225972</v>
      </c>
      <c r="G7" s="21" t="s">
        <v>16</v>
      </c>
      <c r="H7" s="27">
        <f>Numbers!H7/Numbers!D7</f>
        <v>1.6875422498787398E-2</v>
      </c>
      <c r="I7" s="27">
        <f>Numbers!I7/Numbers!D7</f>
        <v>0</v>
      </c>
      <c r="J7" s="27">
        <f>Numbers!J7/Numbers!D7</f>
        <v>1.4999877355014506E-2</v>
      </c>
      <c r="K7" s="33">
        <v>0</v>
      </c>
      <c r="L7" s="13"/>
      <c r="N7" s="13"/>
      <c r="O7" s="13"/>
      <c r="P7" s="13"/>
    </row>
    <row r="8" spans="1:16" s="11" customFormat="1" ht="17.25" customHeight="1">
      <c r="A8" s="22" t="s">
        <v>17</v>
      </c>
      <c r="B8" s="16">
        <f>Numbers!B8</f>
        <v>3178264</v>
      </c>
      <c r="C8" s="29">
        <f>Numbers!C8</f>
        <v>539282</v>
      </c>
      <c r="D8" s="29">
        <f>Numbers!D8</f>
        <v>2638982</v>
      </c>
      <c r="E8" s="17">
        <f>Numbers!E8/Numbers!D8</f>
        <v>1</v>
      </c>
      <c r="F8" s="19">
        <f>Numbers!F8</f>
        <v>157285</v>
      </c>
      <c r="G8" s="21" t="s">
        <v>16</v>
      </c>
      <c r="H8" s="27" t="s">
        <v>16</v>
      </c>
      <c r="I8" s="27" t="s">
        <v>16</v>
      </c>
      <c r="J8" s="27" t="s">
        <v>16</v>
      </c>
      <c r="K8" s="33">
        <v>0</v>
      </c>
      <c r="L8" s="13"/>
      <c r="N8" s="13"/>
      <c r="O8" s="13"/>
      <c r="P8" s="13"/>
    </row>
    <row r="9" spans="1:16" s="11" customFormat="1" ht="17.25" customHeight="1">
      <c r="A9" s="23" t="s">
        <v>18</v>
      </c>
      <c r="B9" s="16">
        <f>Numbers!B9</f>
        <v>2569587</v>
      </c>
      <c r="C9" s="29">
        <f>Numbers!C9</f>
        <v>435697</v>
      </c>
      <c r="D9" s="29">
        <f>Numbers!D9</f>
        <v>2133890</v>
      </c>
      <c r="E9" s="17">
        <f>Numbers!E9/Numbers!D9</f>
        <v>0.97143526611024933</v>
      </c>
      <c r="F9" s="19">
        <f>Numbers!F9</f>
        <v>127163</v>
      </c>
      <c r="G9" s="21" t="s">
        <v>16</v>
      </c>
      <c r="H9" s="27">
        <f>Numbers!H9/Numbers!D9</f>
        <v>2.7014982028127035E-2</v>
      </c>
      <c r="I9" s="27">
        <f>Numbers!I9/Numbers!D9</f>
        <v>0</v>
      </c>
      <c r="J9" s="27">
        <f>Numbers!J9/Numbers!D9</f>
        <v>1.5497518616236076E-3</v>
      </c>
      <c r="K9" s="33">
        <v>0</v>
      </c>
      <c r="L9" s="13"/>
      <c r="N9" s="13"/>
      <c r="O9" s="13"/>
      <c r="P9" s="13"/>
    </row>
    <row r="10" spans="1:16" s="11" customFormat="1" ht="17.25" customHeight="1">
      <c r="A10" s="22" t="s">
        <v>19</v>
      </c>
      <c r="B10" s="16">
        <f>Numbers!B10</f>
        <v>15772679</v>
      </c>
      <c r="C10" s="29">
        <f>Numbers!C10</f>
        <v>2676277</v>
      </c>
      <c r="D10" s="29">
        <f>Numbers!D10</f>
        <v>13096402</v>
      </c>
      <c r="E10" s="17">
        <f>Numbers!E10/Numbers!D10</f>
        <v>0.79768565442630734</v>
      </c>
      <c r="F10" s="19">
        <f>Numbers!F10</f>
        <v>780554</v>
      </c>
      <c r="G10" s="20">
        <v>0</v>
      </c>
      <c r="H10" s="27">
        <f>Numbers!H10/Numbers!D10</f>
        <v>0</v>
      </c>
      <c r="I10" s="27">
        <f>Numbers!I10/Numbers!D10</f>
        <v>0.19953442174423175</v>
      </c>
      <c r="J10" s="27">
        <f>Numbers!J10/Numbers!D10</f>
        <v>0</v>
      </c>
      <c r="K10" s="34">
        <v>0</v>
      </c>
      <c r="L10" s="13"/>
      <c r="N10" s="13"/>
      <c r="O10" s="13"/>
      <c r="P10" s="13"/>
    </row>
    <row r="11" spans="1:16" s="11" customFormat="1" ht="17.25" customHeight="1">
      <c r="A11" s="24" t="s">
        <v>20</v>
      </c>
      <c r="B11" s="16">
        <f>Numbers!B11</f>
        <v>11220454</v>
      </c>
      <c r="C11" s="29">
        <f>Numbers!C11</f>
        <v>1903865</v>
      </c>
      <c r="D11" s="29">
        <f>Numbers!D11</f>
        <v>9316589</v>
      </c>
      <c r="E11" s="17">
        <f>Numbers!E11/Numbers!D11</f>
        <v>0.95671795761302769</v>
      </c>
      <c r="F11" s="19">
        <f>Numbers!F11</f>
        <v>555276</v>
      </c>
      <c r="G11" s="21" t="s">
        <v>16</v>
      </c>
      <c r="H11" s="27">
        <f>Numbers!H11/Numbers!D11</f>
        <v>0</v>
      </c>
      <c r="I11" s="27">
        <f>Numbers!I11/Numbers!D11</f>
        <v>0</v>
      </c>
      <c r="J11" s="27">
        <f>Numbers!J11/Numbers!D11</f>
        <v>4.3282042386972315E-2</v>
      </c>
      <c r="K11" s="33" t="s">
        <v>16</v>
      </c>
      <c r="L11" s="13"/>
      <c r="N11" s="13"/>
      <c r="O11" s="13"/>
      <c r="P11" s="13"/>
    </row>
    <row r="12" spans="1:16" s="11" customFormat="1" ht="17.25" customHeight="1">
      <c r="A12" s="22" t="s">
        <v>21</v>
      </c>
      <c r="B12" s="16">
        <f>Numbers!B12</f>
        <v>3723549</v>
      </c>
      <c r="C12" s="29">
        <f>Numbers!C12</f>
        <v>631362</v>
      </c>
      <c r="D12" s="29">
        <f>Numbers!D12</f>
        <v>3092187</v>
      </c>
      <c r="E12" s="17">
        <f>Numbers!E12/Numbers!D12</f>
        <v>0.97591672172478572</v>
      </c>
      <c r="F12" s="19">
        <f>Numbers!F12</f>
        <v>184270</v>
      </c>
      <c r="G12" s="21" t="s">
        <v>16</v>
      </c>
      <c r="H12" s="27">
        <f>Numbers!H12/Numbers!D12</f>
        <v>0</v>
      </c>
      <c r="I12" s="27">
        <f>Numbers!I12/Numbers!D12</f>
        <v>2.4083278275214275E-2</v>
      </c>
      <c r="J12" s="27">
        <f>Numbers!J12/Numbers!D12</f>
        <v>0</v>
      </c>
      <c r="K12" s="33" t="s">
        <v>16</v>
      </c>
      <c r="L12" s="13"/>
      <c r="N12" s="13"/>
      <c r="O12" s="13"/>
      <c r="P12" s="13"/>
    </row>
    <row r="13" spans="1:16" s="11" customFormat="1" ht="17.25" customHeight="1">
      <c r="A13" s="22" t="s">
        <v>22</v>
      </c>
      <c r="B13" s="16">
        <f>Numbers!B13</f>
        <v>16380000</v>
      </c>
      <c r="C13" s="29">
        <f>Numbers!C13</f>
        <v>2783029</v>
      </c>
      <c r="D13" s="29">
        <f>Numbers!D13</f>
        <v>13596971</v>
      </c>
      <c r="E13" s="17">
        <f>Numbers!E13/Numbers!D13</f>
        <v>0.90353373556507544</v>
      </c>
      <c r="F13" s="19">
        <f>Numbers!F13</f>
        <v>810611</v>
      </c>
      <c r="G13" s="20">
        <v>0</v>
      </c>
      <c r="H13" s="27">
        <f>Numbers!H13/Numbers!D13</f>
        <v>0</v>
      </c>
      <c r="I13" s="27">
        <f>Numbers!I13/Numbers!D13</f>
        <v>0</v>
      </c>
      <c r="J13" s="27">
        <f>Numbers!J13/Numbers!D13</f>
        <v>9.6466264434924509E-2</v>
      </c>
      <c r="K13" s="33">
        <v>0</v>
      </c>
      <c r="L13" s="13"/>
      <c r="N13" s="13"/>
      <c r="O13" s="13"/>
      <c r="P13" s="13"/>
    </row>
    <row r="14" spans="1:16" s="11" customFormat="1" ht="17.25" customHeight="1">
      <c r="A14" s="22" t="s">
        <v>23</v>
      </c>
      <c r="B14" s="16">
        <f>Numbers!B14</f>
        <v>27295284</v>
      </c>
      <c r="C14" s="29">
        <f>Numbers!C14</f>
        <v>4631411</v>
      </c>
      <c r="D14" s="29">
        <f>Numbers!D14</f>
        <v>22663873</v>
      </c>
      <c r="E14" s="17">
        <f>Numbers!E14/Numbers!D14</f>
        <v>0.89410459545021281</v>
      </c>
      <c r="F14" s="19">
        <f>Numbers!F14</f>
        <v>1350784</v>
      </c>
      <c r="G14" s="21" t="s">
        <v>16</v>
      </c>
      <c r="H14" s="27">
        <f>Numbers!H14/Numbers!D14</f>
        <v>4.2471734641294542E-2</v>
      </c>
      <c r="I14" s="27">
        <f>Numbers!I14/Numbers!D14</f>
        <v>6.3423669908492686E-2</v>
      </c>
      <c r="J14" s="27">
        <f>Numbers!J14/Numbers!D14</f>
        <v>0</v>
      </c>
      <c r="K14" s="33">
        <v>0</v>
      </c>
      <c r="L14" s="13"/>
      <c r="N14" s="13"/>
      <c r="O14" s="13"/>
      <c r="P14" s="13"/>
    </row>
    <row r="15" spans="1:16" s="11" customFormat="1" ht="17.25" customHeight="1">
      <c r="A15" s="22" t="s">
        <v>24</v>
      </c>
      <c r="B15" s="16">
        <f>Numbers!B15</f>
        <v>1763884</v>
      </c>
      <c r="C15" s="29">
        <f>Numbers!C15</f>
        <v>299292</v>
      </c>
      <c r="D15" s="29">
        <f>Numbers!D15</f>
        <v>1464592</v>
      </c>
      <c r="E15" s="17">
        <f>Numbers!E15/Numbers!D15</f>
        <v>0.98795637283284354</v>
      </c>
      <c r="F15" s="19">
        <f>Numbers!F15</f>
        <v>87293</v>
      </c>
      <c r="G15" s="21" t="s">
        <v>16</v>
      </c>
      <c r="H15" s="27">
        <f>Numbers!H15/Numbers!D15</f>
        <v>0</v>
      </c>
      <c r="I15" s="27">
        <f>Numbers!I15/Numbers!D15</f>
        <v>1.204362716715645E-2</v>
      </c>
      <c r="J15" s="27">
        <f>Numbers!J15/Numbers!D15</f>
        <v>0</v>
      </c>
      <c r="K15" s="33" t="s">
        <v>16</v>
      </c>
      <c r="L15" s="13"/>
      <c r="N15" s="13"/>
      <c r="O15" s="13"/>
      <c r="P15" s="13"/>
    </row>
    <row r="16" spans="1:16" s="11" customFormat="1" ht="17.25" customHeight="1">
      <c r="A16" s="22" t="s">
        <v>25</v>
      </c>
      <c r="B16" s="16">
        <f>Numbers!B16</f>
        <v>507865</v>
      </c>
      <c r="C16" s="29">
        <f>Numbers!C16</f>
        <v>86173</v>
      </c>
      <c r="D16" s="29">
        <f>Numbers!D16</f>
        <v>421692</v>
      </c>
      <c r="E16" s="17">
        <f>Numbers!E16/Numbers!D16</f>
        <v>0.9899998102880776</v>
      </c>
      <c r="F16" s="19">
        <f>Numbers!F16</f>
        <v>25133</v>
      </c>
      <c r="G16" s="21" t="s">
        <v>16</v>
      </c>
      <c r="H16" s="27">
        <f>Numbers!H16/Numbers!D16</f>
        <v>0</v>
      </c>
      <c r="I16" s="27">
        <f>Numbers!I16/Numbers!D16</f>
        <v>1.0000189711922446E-2</v>
      </c>
      <c r="J16" s="27">
        <f>Numbers!J16/Numbers!D16</f>
        <v>0</v>
      </c>
      <c r="K16" s="33">
        <v>0</v>
      </c>
      <c r="L16" s="13"/>
      <c r="N16" s="13"/>
      <c r="O16" s="13"/>
      <c r="P16" s="13"/>
    </row>
    <row r="17" spans="1:16" s="11" customFormat="1" ht="17.25" customHeight="1">
      <c r="A17" s="35" t="s">
        <v>26</v>
      </c>
      <c r="B17" s="16">
        <f>Numbers!B17</f>
        <v>25480000</v>
      </c>
      <c r="C17" s="29">
        <f>Numbers!C17</f>
        <v>4329155</v>
      </c>
      <c r="D17" s="29">
        <f>Numbers!D17</f>
        <v>21150845</v>
      </c>
      <c r="E17" s="17">
        <f>Numbers!E17/Numbers!D17</f>
        <v>1</v>
      </c>
      <c r="F17" s="19">
        <f>Numbers!F17</f>
        <v>1260950</v>
      </c>
      <c r="G17" s="37" t="s">
        <v>16</v>
      </c>
      <c r="H17" s="27" t="s">
        <v>16</v>
      </c>
      <c r="I17" s="27" t="s">
        <v>16</v>
      </c>
      <c r="J17" s="27" t="s">
        <v>16</v>
      </c>
      <c r="K17" s="38" t="s">
        <v>16</v>
      </c>
      <c r="L17" s="13"/>
      <c r="N17" s="13"/>
      <c r="O17" s="13"/>
      <c r="P17" s="13"/>
    </row>
    <row r="18" spans="1:16" s="12" customFormat="1" ht="17.25" customHeight="1" thickBot="1">
      <c r="A18" s="25" t="s">
        <v>27</v>
      </c>
      <c r="B18" s="26">
        <f>Numbers!B18</f>
        <v>112457784</v>
      </c>
      <c r="C18" s="26">
        <f>Numbers!C18</f>
        <v>19090330</v>
      </c>
      <c r="D18" s="26">
        <f>Numbers!D18</f>
        <v>93367454</v>
      </c>
      <c r="E18" s="41">
        <f>Numbers!E18/Numbers!D18</f>
        <v>0.92457100736622855</v>
      </c>
      <c r="F18" s="44">
        <f>SUM(F7:F17)</f>
        <v>5565291</v>
      </c>
      <c r="G18" s="28">
        <f t="shared" ref="G18" si="0">SUM(G7:G16)</f>
        <v>0</v>
      </c>
      <c r="H18" s="28">
        <f>Numbers!H18/Numbers!D18</f>
        <v>1.1612215537118534E-2</v>
      </c>
      <c r="I18" s="28">
        <f>Numbers!I18/Numbers!D18</f>
        <v>4.4415209179849757E-2</v>
      </c>
      <c r="J18" s="28">
        <f>Numbers!J18/Numbers!D18</f>
        <v>1.9011635467750893E-2</v>
      </c>
      <c r="K18" s="40">
        <f>SUM(K7:K16)</f>
        <v>0</v>
      </c>
      <c r="L18" s="13"/>
      <c r="N18" s="13"/>
      <c r="O18" s="13"/>
      <c r="P18" s="13"/>
    </row>
    <row r="19" spans="1:16" s="12" customFormat="1" ht="3.75" customHeight="1">
      <c r="J19" s="13"/>
      <c r="K19" s="13"/>
    </row>
    <row r="20" spans="1:16" s="14" customFormat="1" ht="16.899999999999999" customHeight="1">
      <c r="A20" s="47" t="s">
        <v>28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6" s="14" customFormat="1" ht="16.899999999999999" customHeight="1">
      <c r="A21" s="47" t="s">
        <v>29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6" s="14" customFormat="1" ht="34.15" customHeight="1" thickBo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6" ht="22.5" customHeight="1" thickBot="1">
      <c r="A23" s="51" t="s">
        <v>30</v>
      </c>
      <c r="B23" s="52"/>
      <c r="C23" s="52"/>
      <c r="D23" s="52"/>
      <c r="E23" s="52"/>
      <c r="F23" s="52"/>
      <c r="G23" s="52"/>
      <c r="H23" s="52"/>
      <c r="I23" s="52"/>
      <c r="J23" s="52"/>
      <c r="K23" s="53"/>
    </row>
    <row r="24" spans="1:16" ht="107.45" customHeight="1">
      <c r="A24" s="64" t="s">
        <v>31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6" ht="27" customHeight="1">
      <c r="A25" s="67" t="s">
        <v>32</v>
      </c>
      <c r="B25" s="68"/>
      <c r="C25" s="68"/>
      <c r="D25" s="68"/>
      <c r="E25" s="68"/>
      <c r="F25" s="68"/>
      <c r="G25" s="68"/>
      <c r="H25" s="68"/>
      <c r="I25" s="68"/>
      <c r="J25" s="68"/>
      <c r="K25" s="69"/>
    </row>
    <row r="26" spans="1:16" ht="15" customHeight="1">
      <c r="A26" s="54" t="s">
        <v>33</v>
      </c>
      <c r="B26" s="55"/>
      <c r="C26" s="55"/>
      <c r="D26" s="55"/>
      <c r="E26" s="55"/>
      <c r="F26" s="55"/>
      <c r="G26" s="55"/>
      <c r="H26" s="55"/>
      <c r="I26" s="55"/>
      <c r="J26" s="55"/>
      <c r="K26" s="56"/>
    </row>
    <row r="27" spans="1:16" ht="15.75" customHeight="1">
      <c r="A27" s="54" t="s">
        <v>34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6" ht="15" customHeight="1" thickBot="1">
      <c r="A28" s="57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9"/>
    </row>
  </sheetData>
  <mergeCells count="22"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  <mergeCell ref="A20:K20"/>
    <mergeCell ref="A28:K28"/>
    <mergeCell ref="A23:K23"/>
    <mergeCell ref="A24:K24"/>
    <mergeCell ref="A25:K25"/>
    <mergeCell ref="A26:K26"/>
    <mergeCell ref="A27:K27"/>
    <mergeCell ref="A22:K22"/>
    <mergeCell ref="A21:K21"/>
  </mergeCells>
  <hyperlinks>
    <hyperlink ref="A25:J25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20:I20" r:id="rId2" display="1On January 13, 2014, the states announced the First Control Period Interim Adjustment for Banked Allowances (FCPIABA). Additional information available at http://www.rggi.org/design" xr:uid="{54998160-EBDC-4D73-A842-C8FFE1F4A541}"/>
    <hyperlink ref="A20:K20" r:id="rId3" display="1 On March 15, 2021, the states announced the Third Adjustment for Banked Allowances (TABA). Additional information available at https://www.rggi.org/program-overview-and-design/elements." xr:uid="{9F27939F-DD1C-42D1-9FBC-12320D6087F6}"/>
    <hyperlink ref="A21:K21" r:id="rId4" display="2 A total of 3,919,482 Cost Containtment Reserve (CCR) Allowances were distributed in Auction 54. More information available at https://www.rggi.org/auctions/auction-results" xr:uid="{D327EC19-9C74-4A65-86AA-18CD3BC43992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7" ma:contentTypeDescription="Create a new document." ma:contentTypeScope="" ma:versionID="071c3039b777a7a30583954cab0ba431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c08b7f2de240d7cd7095f270e26bdfeb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a5155047-c162-450b-bd47-27c83e7aa6e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BCC93-A9EB-42F2-81D3-222C9D3F4FD3}"/>
</file>

<file path=customXml/itemProps2.xml><?xml version="1.0" encoding="utf-8"?>
<ds:datastoreItem xmlns:ds="http://schemas.openxmlformats.org/officeDocument/2006/customXml" ds:itemID="{702751BF-D60D-44F8-B69D-77B8FB7BB7A5}"/>
</file>

<file path=customXml/itemProps3.xml><?xml version="1.0" encoding="utf-8"?>
<ds:datastoreItem xmlns:ds="http://schemas.openxmlformats.org/officeDocument/2006/customXml" ds:itemID="{C26979CD-B30B-4207-AB32-E67DC0481990}"/>
</file>

<file path=customXml/itemProps4.xml><?xml version="1.0" encoding="utf-8"?>
<ds:datastoreItem xmlns:ds="http://schemas.openxmlformats.org/officeDocument/2006/customXml" ds:itemID="{ECDF2820-9F51-4254-8F4D-79BE9DAB0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RGGI,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 Pei</cp:lastModifiedBy>
  <cp:revision/>
  <dcterms:created xsi:type="dcterms:W3CDTF">2012-01-24T00:57:40Z</dcterms:created>
  <dcterms:modified xsi:type="dcterms:W3CDTF">2025-03-31T14:35:35Z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MediaServiceImageTags">
    <vt:lpwstr/>
  </property>
</Properties>
</file>