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24226"/>
  <mc:AlternateContent xmlns:mc="http://schemas.openxmlformats.org/markup-compatibility/2006">
    <mc:Choice Requires="x15">
      <x15ac:absPath xmlns:x15ac="http://schemas.microsoft.com/office/spreadsheetml/2010/11/ac" url="D:\A67\"/>
    </mc:Choice>
  </mc:AlternateContent>
  <xr:revisionPtr revIDLastSave="0" documentId="13_ncr:1_{F4917AEE-18B7-49AB-B7A1-05D6B0A7C4BD}" xr6:coauthVersionLast="47" xr6:coauthVersionMax="47" xr10:uidLastSave="{00000000-0000-0000-0000-000000000000}"/>
  <bookViews>
    <workbookView xWindow="-23232" yWindow="12432" windowWidth="23256" windowHeight="13896" tabRatio="893" xr2:uid="{00000000-000D-0000-FFFF-FFFF00000000}"/>
  </bookViews>
  <sheets>
    <sheet name="State Chart-NJ" sheetId="9" r:id="rId1"/>
    <sheet name="Sheet1" sheetId="15" state="hidden" r:id="rId2"/>
    <sheet name="Sheet2" sheetId="16" state="hidden" r:id="rId3"/>
  </sheet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M37" i="9" l="1"/>
  <c r="K37" i="9"/>
  <c r="M38" i="9" l="1"/>
  <c r="L38" i="9"/>
  <c r="K38" i="9"/>
  <c r="J38" i="9"/>
  <c r="K36" i="9" l="1"/>
  <c r="I36" i="9"/>
  <c r="L36" i="9" l="1"/>
  <c r="M36" i="9" s="1"/>
  <c r="L35" i="9" l="1"/>
  <c r="M35" i="9" s="1"/>
  <c r="K35" i="9"/>
  <c r="I35" i="9"/>
  <c r="L34" i="9" l="1"/>
  <c r="K34" i="9"/>
  <c r="I34" i="9"/>
  <c r="M34" i="9" s="1"/>
  <c r="K33" i="9" l="1"/>
  <c r="L33" i="9"/>
  <c r="H32" i="9"/>
  <c r="L32" i="9" s="1"/>
  <c r="M33" i="9" l="1"/>
  <c r="M32" i="9"/>
  <c r="I32" i="9"/>
  <c r="H31" i="9" l="1"/>
  <c r="H38" i="9" s="1"/>
  <c r="I31" i="9" l="1"/>
  <c r="M31" i="9" s="1"/>
  <c r="L31" i="9"/>
  <c r="M30" i="9" l="1"/>
  <c r="I30" i="9"/>
  <c r="M29" i="9"/>
  <c r="I29" i="9"/>
  <c r="F42" i="9" l="1"/>
  <c r="H42" i="9" s="1"/>
  <c r="M28" i="9"/>
  <c r="I28" i="9"/>
  <c r="G42" i="9" l="1"/>
  <c r="M27" i="9" l="1"/>
  <c r="I27" i="9"/>
  <c r="L26" i="9" l="1"/>
  <c r="I26" i="9"/>
  <c r="M26" i="9" s="1"/>
  <c r="L22" i="9" l="1"/>
  <c r="L21" i="9"/>
  <c r="L7" i="9"/>
  <c r="I25" i="9"/>
  <c r="M25" i="9" s="1"/>
  <c r="E42" i="9"/>
  <c r="C42" i="9"/>
  <c r="I42" i="9" s="1"/>
  <c r="F38" i="9" l="1"/>
  <c r="L24" i="9" l="1"/>
  <c r="L23" i="9"/>
  <c r="I24" i="9"/>
  <c r="M24" i="9" s="1"/>
  <c r="I23" i="9"/>
  <c r="M23" i="9" s="1"/>
  <c r="I22" i="9" l="1"/>
  <c r="G22" i="9"/>
  <c r="M22" i="9" l="1"/>
  <c r="I21" i="9"/>
  <c r="I38" i="9" s="1"/>
  <c r="M21" i="9" l="1"/>
  <c r="E10" i="9" l="1"/>
  <c r="C10" i="9"/>
  <c r="L20" i="9" l="1"/>
  <c r="G20" i="9" l="1"/>
  <c r="M20" i="9" s="1"/>
  <c r="G19" i="9" l="1"/>
  <c r="M19" i="9" s="1"/>
  <c r="L19" i="9"/>
  <c r="G18" i="9" l="1"/>
  <c r="M18" i="9" s="1"/>
  <c r="L18" i="9"/>
  <c r="G17" i="9" l="1"/>
  <c r="G38" i="9" s="1"/>
  <c r="M17" i="9" l="1"/>
  <c r="L17" i="9"/>
  <c r="B38" i="9" l="1"/>
  <c r="D38" i="9"/>
  <c r="L15" i="9"/>
  <c r="C15" i="9"/>
  <c r="M15" i="9" s="1"/>
  <c r="L14" i="9"/>
  <c r="C14" i="9"/>
  <c r="M14" i="9" s="1"/>
  <c r="L13" i="9"/>
  <c r="C13" i="9"/>
  <c r="M13" i="9" s="1"/>
  <c r="C12" i="9"/>
  <c r="L12" i="9"/>
  <c r="E12" i="9"/>
  <c r="L11" i="9"/>
  <c r="E11" i="9"/>
  <c r="C11" i="9"/>
  <c r="L10" i="9"/>
  <c r="M8" i="9"/>
  <c r="L8" i="9"/>
  <c r="M7" i="9"/>
  <c r="E38" i="9" l="1"/>
  <c r="M10" i="9"/>
  <c r="M12" i="9"/>
  <c r="C38" i="9"/>
  <c r="M11" i="9"/>
</calcChain>
</file>

<file path=xl/sharedStrings.xml><?xml version="1.0" encoding="utf-8"?>
<sst xmlns="http://schemas.openxmlformats.org/spreadsheetml/2006/main" count="316" uniqueCount="59">
  <si>
    <t>Auction 1</t>
  </si>
  <si>
    <t>Auction 2</t>
  </si>
  <si>
    <t>Total Proceeds</t>
  </si>
  <si>
    <t>1st Control Period Allowances Sold</t>
  </si>
  <si>
    <t>1st Control Period Allowance Proceeds</t>
  </si>
  <si>
    <t>2nd Control Period Allowances Sold</t>
  </si>
  <si>
    <t>2nd Control Period Allowance Proceeds</t>
  </si>
  <si>
    <t>4th Control Period Allowances Sold</t>
  </si>
  <si>
    <t>4th Control Period Allowance Proceeds</t>
  </si>
  <si>
    <t>5th Control Period Allowances Sold</t>
  </si>
  <si>
    <t>5th Control Period Allowance Proceeds</t>
  </si>
  <si>
    <t>6th Control Period Allowances Sold</t>
  </si>
  <si>
    <t>6th Control Period Allowance Proceeds</t>
  </si>
  <si>
    <t>Total Allowances Sold</t>
  </si>
  <si>
    <t xml:space="preserve"> --</t>
  </si>
  <si>
    <t>Auction 3</t>
  </si>
  <si>
    <t>Auction 4</t>
  </si>
  <si>
    <t>Auction 5</t>
  </si>
  <si>
    <t>Auction 6</t>
  </si>
  <si>
    <t>Auction 7</t>
  </si>
  <si>
    <t>Auction 8</t>
  </si>
  <si>
    <t>Auction 9</t>
  </si>
  <si>
    <t>Auction 10</t>
  </si>
  <si>
    <t>Auction 11</t>
  </si>
  <si>
    <t>Auction 12</t>
  </si>
  <si>
    <t>Auction 13</t>
  </si>
  <si>
    <t>Auction 14</t>
  </si>
  <si>
    <t>Auction 47</t>
  </si>
  <si>
    <t>Auction 48</t>
  </si>
  <si>
    <t>Auction 49</t>
  </si>
  <si>
    <t>Auction 50</t>
  </si>
  <si>
    <t>Auction 51</t>
  </si>
  <si>
    <t>Auction 52</t>
  </si>
  <si>
    <t>Auction 53</t>
  </si>
  <si>
    <t>Auction 54</t>
  </si>
  <si>
    <t>Auction 55</t>
  </si>
  <si>
    <t>Auction 56</t>
  </si>
  <si>
    <t>Auction 57</t>
  </si>
  <si>
    <t>Auction 58</t>
  </si>
  <si>
    <t>Auction 59</t>
  </si>
  <si>
    <t>Auction 60</t>
  </si>
  <si>
    <t>Auction 61</t>
  </si>
  <si>
    <t>Auction 62</t>
  </si>
  <si>
    <t>Auction 63</t>
  </si>
  <si>
    <t>All Auctions</t>
  </si>
  <si>
    <t>1st Control Period Allowances</t>
  </si>
  <si>
    <t>1st Control Period Fixed Price Sales</t>
  </si>
  <si>
    <t>4th Control Period Allowances</t>
  </si>
  <si>
    <t>4th Control Period Fixed Price Sales</t>
  </si>
  <si>
    <t>5th Control Period Allowances</t>
  </si>
  <si>
    <t>5th Control Period Fixed Price Sales</t>
  </si>
  <si>
    <t>Total Fixed Price Allowances</t>
  </si>
  <si>
    <t>Total Fixed Price Sales</t>
  </si>
  <si>
    <t>NJ</t>
  </si>
  <si>
    <t>In addition, NJ distributed set-aside allowances that were sold at fixed price:</t>
  </si>
  <si>
    <t>Auction 64</t>
  </si>
  <si>
    <t>Auction 65</t>
  </si>
  <si>
    <t>Auction 66</t>
  </si>
  <si>
    <t>Auction 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</si>
</sst>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3" formatCode="_(* #,##0.00_);_(* \(#,##0.00\);_(* &quot;-&quot;??_);_(@_)"/>
    <numFmt numFmtId="164" formatCode="&quot;$&quot;#,##0.00"/>
    <numFmt numFmtId="166" formatCode="_(* #,##0_);_(* \(#,##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0"/>
      <color theme="0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color theme="0"/>
      <name val="Arial"/>
      <family val="2"/>
    </font>
    <font>
      <b/>
      <sz val="22"/>
      <color theme="1"/>
      <name val="Arial"/>
      <family val="2"/>
    </font>
    <font>
      <sz val="8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0" tint="-0.499984740745262"/>
        <bgColor indexed="64"/>
      </patternFill>
    </fill>
    <fill>
      <patternFill patternType="darkUp">
        <bgColor theme="0" tint="-0.499984740745262"/>
      </patternFill>
    </fill>
    <fill>
      <patternFill patternType="darkUp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3" fontId="3" fillId="0" borderId="1" xfId="0" applyNumberFormat="1" applyFont="1" applyBorder="1"/>
    <xf numFmtId="164" fontId="3" fillId="0" borderId="1" xfId="0" applyNumberFormat="1" applyFont="1" applyBorder="1"/>
    <xf numFmtId="3" fontId="4" fillId="0" borderId="1" xfId="0" applyNumberFormat="1" applyFont="1" applyBorder="1"/>
    <xf numFmtId="164" fontId="2" fillId="2" borderId="1" xfId="0" applyNumberFormat="1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 wrapText="1"/>
    </xf>
    <xf numFmtId="164" fontId="4" fillId="0" borderId="1" xfId="0" applyNumberFormat="1" applyFont="1" applyBorder="1"/>
    <xf numFmtId="3" fontId="0" fillId="0" borderId="0" xfId="0" applyNumberFormat="1"/>
    <xf numFmtId="164" fontId="0" fillId="0" borderId="0" xfId="0" applyNumberFormat="1"/>
    <xf numFmtId="164" fontId="3" fillId="0" borderId="1" xfId="0" applyNumberFormat="1" applyFont="1" applyBorder="1" applyAlignment="1">
      <alignment horizontal="right"/>
    </xf>
    <xf numFmtId="0" fontId="3" fillId="0" borderId="1" xfId="0" applyFont="1" applyBorder="1" applyAlignment="1">
      <alignment horizontal="right"/>
    </xf>
    <xf numFmtId="0" fontId="3" fillId="0" borderId="0" xfId="0" applyFont="1"/>
    <xf numFmtId="0" fontId="5" fillId="2" borderId="1" xfId="0" applyFont="1" applyFill="1" applyBorder="1" applyAlignment="1">
      <alignment horizontal="center" vertical="center" wrapText="1"/>
    </xf>
    <xf numFmtId="166" fontId="3" fillId="0" borderId="1" xfId="1" applyNumberFormat="1" applyFont="1" applyBorder="1" applyAlignment="1">
      <alignment horizontal="right"/>
    </xf>
    <xf numFmtId="0" fontId="6" fillId="0" borderId="1" xfId="0" applyFont="1" applyBorder="1" applyAlignment="1">
      <alignment horizontal="center" vertical="center"/>
    </xf>
    <xf numFmtId="0" fontId="2" fillId="3" borderId="2" xfId="0" applyFont="1" applyFill="1" applyBorder="1" applyAlignment="1">
      <alignment horizontal="center" vertical="center" wrapText="1"/>
    </xf>
    <xf numFmtId="3" fontId="3" fillId="0" borderId="2" xfId="0" applyNumberFormat="1" applyFont="1" applyBorder="1"/>
    <xf numFmtId="164" fontId="3" fillId="0" borderId="2" xfId="0" applyNumberFormat="1" applyFont="1" applyBorder="1"/>
    <xf numFmtId="164" fontId="3" fillId="0" borderId="2" xfId="0" applyNumberFormat="1" applyFont="1" applyBorder="1" applyAlignment="1">
      <alignment horizontal="right"/>
    </xf>
    <xf numFmtId="3" fontId="3" fillId="0" borderId="1" xfId="1" applyNumberFormat="1" applyFont="1" applyBorder="1" applyAlignment="1">
      <alignment horizontal="right"/>
    </xf>
    <xf numFmtId="3" fontId="3" fillId="0" borderId="2" xfId="1" applyNumberFormat="1" applyFont="1" applyBorder="1" applyAlignment="1">
      <alignment horizontal="right"/>
    </xf>
    <xf numFmtId="3" fontId="4" fillId="0" borderId="1" xfId="1" applyNumberFormat="1" applyFont="1" applyBorder="1"/>
    <xf numFmtId="3" fontId="0" fillId="0" borderId="0" xfId="1" applyNumberFormat="1" applyFont="1"/>
    <xf numFmtId="0" fontId="3" fillId="0" borderId="2" xfId="0" applyFont="1" applyBorder="1" applyAlignment="1">
      <alignment horizontal="right"/>
    </xf>
    <xf numFmtId="0" fontId="2" fillId="4" borderId="2" xfId="0" applyFont="1" applyFill="1" applyBorder="1" applyAlignment="1">
      <alignment horizontal="center" vertical="center" wrapText="1"/>
    </xf>
    <xf numFmtId="3" fontId="3" fillId="5" borderId="2" xfId="0" applyNumberFormat="1" applyFont="1" applyFill="1" applyBorder="1"/>
    <xf numFmtId="164" fontId="3" fillId="5" borderId="2" xfId="0" applyNumberFormat="1" applyFont="1" applyFill="1" applyBorder="1"/>
    <xf numFmtId="0" fontId="3" fillId="5" borderId="2" xfId="0" applyFont="1" applyFill="1" applyBorder="1" applyAlignment="1">
      <alignment horizontal="right"/>
    </xf>
    <xf numFmtId="164" fontId="3" fillId="5" borderId="2" xfId="0" applyNumberFormat="1" applyFont="1" applyFill="1" applyBorder="1" applyAlignment="1">
      <alignment horizontal="right"/>
    </xf>
    <xf numFmtId="3" fontId="3" fillId="5" borderId="2" xfId="1" applyNumberFormat="1" applyFont="1" applyFill="1" applyBorder="1" applyAlignment="1">
      <alignment horizontal="right"/>
    </xf>
    <xf numFmtId="0" fontId="2" fillId="2" borderId="1" xfId="0" applyFont="1" applyFill="1" applyBorder="1" applyAlignment="1">
      <alignment horizontal="center" vertical="center" wrapText="1"/>
    </xf>
    <xf numFmtId="166" fontId="4" fillId="0" borderId="1" xfId="1" applyNumberFormat="1" applyFont="1" applyBorder="1" applyAlignment="1"/>
    <xf numFmtId="166" fontId="3" fillId="0" borderId="2" xfId="1" applyNumberFormat="1" applyFont="1" applyBorder="1" applyAlignment="1">
      <alignment horizontal="right"/>
    </xf>
    <xf numFmtId="164" fontId="4" fillId="0" borderId="0" xfId="0" applyNumberFormat="1" applyFont="1"/>
  </cellXfs>
  <cellStyles count="2">
    <cellStyle name="Comma" xfId="1" builtinId="3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sheetPr>
    <pageSetUpPr fitToPage="1"/>
  </sheetPr>
  <dimension ref="A1:M42"/>
  <sheetViews>
    <sheetView tabSelected="1" zoomScale="90" zoomScaleNormal="90" workbookViewId="0">
      <pane ySplit="1" topLeftCell="A25" activePane="bottomLeft" state="frozen"/>
      <selection pane="bottomLeft" activeCell="M38" sqref="M38"/>
    </sheetView>
  </sheetViews>
  <sheetFormatPr defaultRowHeight="15" x14ac:dyDescent="0.25"/>
  <cols>
    <col min="1" max="1" width="13.140625" customWidth="1"/>
    <col min="2" max="13" width="17.42578125" customWidth="1"/>
  </cols>
  <sheetData>
    <row r="1" spans="1:13" ht="51" customHeight="1" x14ac:dyDescent="0.25">
      <c r="A1" s="14" t="s">
        <v>53</v>
      </c>
      <c r="B1" s="30" t="s">
        <v>3</v>
      </c>
      <c r="C1" s="30" t="s">
        <v>4</v>
      </c>
      <c r="D1" s="30" t="s">
        <v>5</v>
      </c>
      <c r="E1" s="4" t="s">
        <v>6</v>
      </c>
      <c r="F1" s="30" t="s">
        <v>7</v>
      </c>
      <c r="G1" s="4" t="s">
        <v>8</v>
      </c>
      <c r="H1" s="30" t="s">
        <v>9</v>
      </c>
      <c r="I1" s="4" t="s">
        <v>10</v>
      </c>
      <c r="J1" s="4" t="s">
        <v>11</v>
      </c>
      <c r="K1" s="4" t="s">
        <v>12</v>
      </c>
      <c r="L1" s="30" t="s">
        <v>13</v>
      </c>
      <c r="M1" s="30" t="s">
        <v>2</v>
      </c>
    </row>
    <row r="2" spans="1:13" ht="15" customHeight="1" x14ac:dyDescent="0.25">
      <c r="A2" s="5" t="s">
        <v>0</v>
      </c>
      <c r="B2" s="10" t="s">
        <v>14</v>
      </c>
      <c r="C2" s="9" t="s">
        <v>14</v>
      </c>
      <c r="D2" s="10" t="s">
        <v>14</v>
      </c>
      <c r="E2" s="9" t="s">
        <v>14</v>
      </c>
      <c r="F2" s="19" t="s">
        <v>14</v>
      </c>
      <c r="G2" s="9" t="s">
        <v>14</v>
      </c>
      <c r="H2" s="19" t="s">
        <v>14</v>
      </c>
      <c r="I2" s="9" t="s">
        <v>14</v>
      </c>
      <c r="J2" s="9" t="s">
        <v>14</v>
      </c>
      <c r="K2" s="9" t="s">
        <v>14</v>
      </c>
      <c r="L2" s="10" t="s">
        <v>14</v>
      </c>
      <c r="M2" s="9" t="s">
        <v>14</v>
      </c>
    </row>
    <row r="3" spans="1:13" ht="15" customHeight="1" x14ac:dyDescent="0.25">
      <c r="A3" s="5" t="s">
        <v>1</v>
      </c>
      <c r="B3" s="1">
        <v>4532761</v>
      </c>
      <c r="C3" s="2">
        <v>15320732.18</v>
      </c>
      <c r="D3" s="10" t="s">
        <v>14</v>
      </c>
      <c r="E3" s="9" t="s">
        <v>14</v>
      </c>
      <c r="F3" s="19" t="s">
        <v>14</v>
      </c>
      <c r="G3" s="9" t="s">
        <v>14</v>
      </c>
      <c r="H3" s="19" t="s">
        <v>14</v>
      </c>
      <c r="I3" s="9" t="s">
        <v>14</v>
      </c>
      <c r="J3" s="9" t="s">
        <v>14</v>
      </c>
      <c r="K3" s="9" t="s">
        <v>14</v>
      </c>
      <c r="L3" s="1">
        <v>4532761</v>
      </c>
      <c r="M3" s="2">
        <v>15320732.18</v>
      </c>
    </row>
    <row r="4" spans="1:13" ht="15" customHeight="1" x14ac:dyDescent="0.25">
      <c r="A4" s="5" t="s">
        <v>15</v>
      </c>
      <c r="B4" s="1">
        <v>4532761</v>
      </c>
      <c r="C4" s="2">
        <v>15909991.109999999</v>
      </c>
      <c r="D4" s="1">
        <v>283298</v>
      </c>
      <c r="E4" s="2">
        <v>864058.89999999991</v>
      </c>
      <c r="F4" s="19" t="s">
        <v>14</v>
      </c>
      <c r="G4" s="9" t="s">
        <v>14</v>
      </c>
      <c r="H4" s="19" t="s">
        <v>14</v>
      </c>
      <c r="I4" s="9" t="s">
        <v>14</v>
      </c>
      <c r="J4" s="9" t="s">
        <v>14</v>
      </c>
      <c r="K4" s="9" t="s">
        <v>14</v>
      </c>
      <c r="L4" s="1">
        <v>4816059</v>
      </c>
      <c r="M4" s="2">
        <v>16774050.01</v>
      </c>
    </row>
    <row r="5" spans="1:13" ht="15" customHeight="1" x14ac:dyDescent="0.25">
      <c r="A5" s="5" t="s">
        <v>16</v>
      </c>
      <c r="B5" s="1">
        <v>4532761</v>
      </c>
      <c r="C5" s="2">
        <v>14640818.029999999</v>
      </c>
      <c r="D5" s="1">
        <v>283298</v>
      </c>
      <c r="E5" s="2">
        <v>583593.88</v>
      </c>
      <c r="F5" s="19" t="s">
        <v>14</v>
      </c>
      <c r="G5" s="9" t="s">
        <v>14</v>
      </c>
      <c r="H5" s="19" t="s">
        <v>14</v>
      </c>
      <c r="I5" s="9" t="s">
        <v>14</v>
      </c>
      <c r="J5" s="9" t="s">
        <v>14</v>
      </c>
      <c r="K5" s="9" t="s">
        <v>14</v>
      </c>
      <c r="L5" s="1">
        <v>4816059</v>
      </c>
      <c r="M5" s="2">
        <v>15224411.91</v>
      </c>
    </row>
    <row r="6" spans="1:13" ht="15" customHeight="1" x14ac:dyDescent="0.25">
      <c r="A6" s="5" t="s">
        <v>17</v>
      </c>
      <c r="B6" s="1">
        <v>1679086</v>
      </c>
      <c r="C6" s="2">
        <v>3677198.34</v>
      </c>
      <c r="D6" s="1">
        <v>283298</v>
      </c>
      <c r="E6" s="2">
        <v>529767.26</v>
      </c>
      <c r="F6" s="19" t="s">
        <v>14</v>
      </c>
      <c r="G6" s="9" t="s">
        <v>14</v>
      </c>
      <c r="H6" s="19" t="s">
        <v>14</v>
      </c>
      <c r="I6" s="9" t="s">
        <v>14</v>
      </c>
      <c r="J6" s="9" t="s">
        <v>14</v>
      </c>
      <c r="K6" s="9" t="s">
        <v>14</v>
      </c>
      <c r="L6" s="1">
        <v>1962384</v>
      </c>
      <c r="M6" s="2">
        <v>4206965.5999999996</v>
      </c>
    </row>
    <row r="7" spans="1:13" ht="15" customHeight="1" x14ac:dyDescent="0.25">
      <c r="A7" s="5" t="s">
        <v>18</v>
      </c>
      <c r="B7" s="1">
        <v>1679086</v>
      </c>
      <c r="C7" s="2">
        <v>3442126.3</v>
      </c>
      <c r="D7" s="1">
        <v>208509</v>
      </c>
      <c r="E7" s="2">
        <v>387826.74000000005</v>
      </c>
      <c r="F7" s="19" t="s">
        <v>14</v>
      </c>
      <c r="G7" s="9" t="s">
        <v>14</v>
      </c>
      <c r="H7" s="19" t="s">
        <v>14</v>
      </c>
      <c r="I7" s="9" t="s">
        <v>14</v>
      </c>
      <c r="J7" s="9" t="s">
        <v>14</v>
      </c>
      <c r="K7" s="9" t="s">
        <v>14</v>
      </c>
      <c r="L7" s="1">
        <f>B7+D7</f>
        <v>1887595</v>
      </c>
      <c r="M7" s="2">
        <f>C7+E7</f>
        <v>3829953.04</v>
      </c>
    </row>
    <row r="8" spans="1:13" ht="15" customHeight="1" x14ac:dyDescent="0.25">
      <c r="A8" s="5" t="s">
        <v>19</v>
      </c>
      <c r="B8" s="1">
        <v>4174827</v>
      </c>
      <c r="C8" s="2">
        <v>8641891.8899999987</v>
      </c>
      <c r="D8" s="1">
        <v>273837</v>
      </c>
      <c r="E8" s="2">
        <v>509336.82</v>
      </c>
      <c r="F8" s="19" t="s">
        <v>14</v>
      </c>
      <c r="G8" s="9" t="s">
        <v>14</v>
      </c>
      <c r="H8" s="19" t="s">
        <v>14</v>
      </c>
      <c r="I8" s="9" t="s">
        <v>14</v>
      </c>
      <c r="J8" s="9" t="s">
        <v>14</v>
      </c>
      <c r="K8" s="9" t="s">
        <v>14</v>
      </c>
      <c r="L8" s="1">
        <f>B8+D8</f>
        <v>4448664</v>
      </c>
      <c r="M8" s="2">
        <f>C8+E8</f>
        <v>9151228.709999999</v>
      </c>
    </row>
    <row r="9" spans="1:13" ht="15" customHeight="1" x14ac:dyDescent="0.25">
      <c r="A9" s="5" t="s">
        <v>20</v>
      </c>
      <c r="B9" s="1">
        <v>4174827</v>
      </c>
      <c r="C9" s="2">
        <v>7848674.7599999998</v>
      </c>
      <c r="D9" s="1">
        <v>279991</v>
      </c>
      <c r="E9" s="2">
        <v>520783.26</v>
      </c>
      <c r="F9" s="19" t="s">
        <v>14</v>
      </c>
      <c r="G9" s="9" t="s">
        <v>14</v>
      </c>
      <c r="H9" s="19" t="s">
        <v>14</v>
      </c>
      <c r="I9" s="9" t="s">
        <v>14</v>
      </c>
      <c r="J9" s="9" t="s">
        <v>14</v>
      </c>
      <c r="K9" s="9" t="s">
        <v>14</v>
      </c>
      <c r="L9" s="1">
        <v>4454818</v>
      </c>
      <c r="M9" s="2">
        <v>8369458.0199999996</v>
      </c>
    </row>
    <row r="10" spans="1:13" ht="15" customHeight="1" x14ac:dyDescent="0.25">
      <c r="A10" s="5" t="s">
        <v>21</v>
      </c>
      <c r="B10" s="1">
        <v>5300978</v>
      </c>
      <c r="C10" s="2">
        <f>1.86*B10</f>
        <v>9859819.0800000001</v>
      </c>
      <c r="D10" s="1">
        <v>171819</v>
      </c>
      <c r="E10" s="2">
        <f>D10*1.86</f>
        <v>319583.34000000003</v>
      </c>
      <c r="F10" s="19" t="s">
        <v>14</v>
      </c>
      <c r="G10" s="9" t="s">
        <v>14</v>
      </c>
      <c r="H10" s="19" t="s">
        <v>14</v>
      </c>
      <c r="I10" s="9" t="s">
        <v>14</v>
      </c>
      <c r="J10" s="9" t="s">
        <v>14</v>
      </c>
      <c r="K10" s="9" t="s">
        <v>14</v>
      </c>
      <c r="L10" s="1">
        <f>D10+B10</f>
        <v>5472797</v>
      </c>
      <c r="M10" s="2">
        <f>C10+E10</f>
        <v>10179402.42</v>
      </c>
    </row>
    <row r="11" spans="1:13" ht="15" customHeight="1" x14ac:dyDescent="0.25">
      <c r="A11" s="5" t="s">
        <v>22</v>
      </c>
      <c r="B11" s="1">
        <v>4070748</v>
      </c>
      <c r="C11" s="2">
        <f>B11*1.86</f>
        <v>7571591.2800000003</v>
      </c>
      <c r="D11" s="1">
        <v>153485</v>
      </c>
      <c r="E11" s="2">
        <f>D11*1.86</f>
        <v>285482.10000000003</v>
      </c>
      <c r="F11" s="19" t="s">
        <v>14</v>
      </c>
      <c r="G11" s="9" t="s">
        <v>14</v>
      </c>
      <c r="H11" s="19" t="s">
        <v>14</v>
      </c>
      <c r="I11" s="9" t="s">
        <v>14</v>
      </c>
      <c r="J11" s="9" t="s">
        <v>14</v>
      </c>
      <c r="K11" s="9" t="s">
        <v>14</v>
      </c>
      <c r="L11" s="1">
        <f>D11+B11</f>
        <v>4224233</v>
      </c>
      <c r="M11" s="2">
        <f>C11+E11</f>
        <v>7857073.3799999999</v>
      </c>
    </row>
    <row r="12" spans="1:13" ht="15" customHeight="1" x14ac:dyDescent="0.25">
      <c r="A12" s="5" t="s">
        <v>23</v>
      </c>
      <c r="B12" s="1">
        <v>5595158</v>
      </c>
      <c r="C12" s="2">
        <f>B12*1.89</f>
        <v>10574848.619999999</v>
      </c>
      <c r="D12" s="1">
        <v>279758</v>
      </c>
      <c r="E12" s="2">
        <f>D12*1.89</f>
        <v>528742.62</v>
      </c>
      <c r="F12" s="19" t="s">
        <v>14</v>
      </c>
      <c r="G12" s="9" t="s">
        <v>14</v>
      </c>
      <c r="H12" s="19" t="s">
        <v>14</v>
      </c>
      <c r="I12" s="9" t="s">
        <v>14</v>
      </c>
      <c r="J12" s="9" t="s">
        <v>14</v>
      </c>
      <c r="K12" s="9" t="s">
        <v>14</v>
      </c>
      <c r="L12" s="1">
        <f>B12+D12</f>
        <v>5874916</v>
      </c>
      <c r="M12" s="2">
        <f>C12+E12</f>
        <v>11103591.239999998</v>
      </c>
    </row>
    <row r="13" spans="1:13" ht="15" customHeight="1" x14ac:dyDescent="0.25">
      <c r="A13" s="5" t="s">
        <v>24</v>
      </c>
      <c r="B13" s="1">
        <v>1647792</v>
      </c>
      <c r="C13" s="2">
        <f>B13*1.89</f>
        <v>3114326.88</v>
      </c>
      <c r="D13" s="10" t="s">
        <v>14</v>
      </c>
      <c r="E13" s="9" t="s">
        <v>14</v>
      </c>
      <c r="F13" s="19" t="s">
        <v>14</v>
      </c>
      <c r="G13" s="9" t="s">
        <v>14</v>
      </c>
      <c r="H13" s="19" t="s">
        <v>14</v>
      </c>
      <c r="I13" s="9" t="s">
        <v>14</v>
      </c>
      <c r="J13" s="9" t="s">
        <v>14</v>
      </c>
      <c r="K13" s="9" t="s">
        <v>14</v>
      </c>
      <c r="L13" s="1">
        <f t="shared" ref="L13:M15" si="0">B13</f>
        <v>1647792</v>
      </c>
      <c r="M13" s="2">
        <f t="shared" si="0"/>
        <v>3114326.88</v>
      </c>
    </row>
    <row r="14" spans="1:13" ht="15" customHeight="1" x14ac:dyDescent="0.25">
      <c r="A14" s="5" t="s">
        <v>25</v>
      </c>
      <c r="B14" s="1">
        <v>980422</v>
      </c>
      <c r="C14" s="2">
        <f>B14*1.89</f>
        <v>1852997.5799999998</v>
      </c>
      <c r="D14" s="10" t="s">
        <v>14</v>
      </c>
      <c r="E14" s="9" t="s">
        <v>14</v>
      </c>
      <c r="F14" s="19" t="s">
        <v>14</v>
      </c>
      <c r="G14" s="9" t="s">
        <v>14</v>
      </c>
      <c r="H14" s="19" t="s">
        <v>14</v>
      </c>
      <c r="I14" s="9" t="s">
        <v>14</v>
      </c>
      <c r="J14" s="9" t="s">
        <v>14</v>
      </c>
      <c r="K14" s="9" t="s">
        <v>14</v>
      </c>
      <c r="L14" s="1">
        <f t="shared" si="0"/>
        <v>980422</v>
      </c>
      <c r="M14" s="2">
        <f t="shared" si="0"/>
        <v>1852997.5799999998</v>
      </c>
    </row>
    <row r="15" spans="1:13" ht="15" customHeight="1" x14ac:dyDescent="0.25">
      <c r="A15" s="5" t="s">
        <v>26</v>
      </c>
      <c r="B15" s="1">
        <v>3365270</v>
      </c>
      <c r="C15" s="2">
        <f>B15*1.89</f>
        <v>6360360.2999999998</v>
      </c>
      <c r="D15" s="10" t="s">
        <v>14</v>
      </c>
      <c r="E15" s="9" t="s">
        <v>14</v>
      </c>
      <c r="F15" s="19" t="s">
        <v>14</v>
      </c>
      <c r="G15" s="9" t="s">
        <v>14</v>
      </c>
      <c r="H15" s="19" t="s">
        <v>14</v>
      </c>
      <c r="I15" s="9" t="s">
        <v>14</v>
      </c>
      <c r="J15" s="9" t="s">
        <v>14</v>
      </c>
      <c r="K15" s="9" t="s">
        <v>14</v>
      </c>
      <c r="L15" s="1">
        <f t="shared" si="0"/>
        <v>3365270</v>
      </c>
      <c r="M15" s="2">
        <f t="shared" si="0"/>
        <v>6360360.2999999998</v>
      </c>
    </row>
    <row r="16" spans="1:13" ht="15" customHeight="1" x14ac:dyDescent="0.25">
      <c r="A16" s="24"/>
      <c r="B16" s="25"/>
      <c r="C16" s="26"/>
      <c r="D16" s="27"/>
      <c r="E16" s="28"/>
      <c r="F16" s="29"/>
      <c r="G16" s="28"/>
      <c r="H16" s="28"/>
      <c r="I16" s="28"/>
      <c r="J16" s="28"/>
      <c r="K16" s="28"/>
      <c r="L16" s="25"/>
      <c r="M16" s="26"/>
    </row>
    <row r="17" spans="1:13" ht="15" customHeight="1" x14ac:dyDescent="0.25">
      <c r="A17" s="15" t="s">
        <v>27</v>
      </c>
      <c r="B17" s="23" t="s">
        <v>14</v>
      </c>
      <c r="C17" s="18" t="s">
        <v>14</v>
      </c>
      <c r="D17" s="23" t="s">
        <v>14</v>
      </c>
      <c r="E17" s="18" t="s">
        <v>14</v>
      </c>
      <c r="F17" s="20">
        <v>3669976</v>
      </c>
      <c r="G17" s="18">
        <f>F17*5.65</f>
        <v>20735364.400000002</v>
      </c>
      <c r="H17" s="19" t="s">
        <v>14</v>
      </c>
      <c r="I17" s="9" t="s">
        <v>14</v>
      </c>
      <c r="J17" s="9" t="s">
        <v>14</v>
      </c>
      <c r="K17" s="9" t="s">
        <v>14</v>
      </c>
      <c r="L17" s="16">
        <f t="shared" ref="L17:M19" si="1">F17</f>
        <v>3669976</v>
      </c>
      <c r="M17" s="17">
        <f t="shared" si="1"/>
        <v>20735364.400000002</v>
      </c>
    </row>
    <row r="18" spans="1:13" ht="15" customHeight="1" x14ac:dyDescent="0.25">
      <c r="A18" s="15" t="s">
        <v>28</v>
      </c>
      <c r="B18" s="23" t="s">
        <v>14</v>
      </c>
      <c r="C18" s="18" t="s">
        <v>14</v>
      </c>
      <c r="D18" s="23" t="s">
        <v>14</v>
      </c>
      <c r="E18" s="18" t="s">
        <v>14</v>
      </c>
      <c r="F18" s="20">
        <v>3669976</v>
      </c>
      <c r="G18" s="18">
        <f>F18*5.75</f>
        <v>21102362</v>
      </c>
      <c r="H18" s="19" t="s">
        <v>14</v>
      </c>
      <c r="I18" s="9" t="s">
        <v>14</v>
      </c>
      <c r="J18" s="9" t="s">
        <v>14</v>
      </c>
      <c r="K18" s="9" t="s">
        <v>14</v>
      </c>
      <c r="L18" s="16">
        <f t="shared" si="1"/>
        <v>3669976</v>
      </c>
      <c r="M18" s="17">
        <f t="shared" si="1"/>
        <v>21102362</v>
      </c>
    </row>
    <row r="19" spans="1:13" ht="15" customHeight="1" x14ac:dyDescent="0.25">
      <c r="A19" s="15" t="s">
        <v>29</v>
      </c>
      <c r="B19" s="23" t="s">
        <v>14</v>
      </c>
      <c r="C19" s="18" t="s">
        <v>14</v>
      </c>
      <c r="D19" s="23" t="s">
        <v>14</v>
      </c>
      <c r="E19" s="18" t="s">
        <v>14</v>
      </c>
      <c r="F19" s="20">
        <v>3669976</v>
      </c>
      <c r="G19" s="18">
        <f>F19*6.82</f>
        <v>25029236.32</v>
      </c>
      <c r="H19" s="19" t="s">
        <v>14</v>
      </c>
      <c r="I19" s="9" t="s">
        <v>14</v>
      </c>
      <c r="J19" s="9" t="s">
        <v>14</v>
      </c>
      <c r="K19" s="9" t="s">
        <v>14</v>
      </c>
      <c r="L19" s="16">
        <f t="shared" si="1"/>
        <v>3669976</v>
      </c>
      <c r="M19" s="17">
        <f t="shared" si="1"/>
        <v>25029236.32</v>
      </c>
    </row>
    <row r="20" spans="1:13" ht="15" customHeight="1" x14ac:dyDescent="0.25">
      <c r="A20" s="15" t="s">
        <v>30</v>
      </c>
      <c r="B20" s="23" t="s">
        <v>14</v>
      </c>
      <c r="C20" s="18" t="s">
        <v>14</v>
      </c>
      <c r="D20" s="23" t="s">
        <v>14</v>
      </c>
      <c r="E20" s="18" t="s">
        <v>14</v>
      </c>
      <c r="F20" s="20">
        <v>3669975</v>
      </c>
      <c r="G20" s="18">
        <f>F20*7.41</f>
        <v>27194514.75</v>
      </c>
      <c r="H20" s="19" t="s">
        <v>14</v>
      </c>
      <c r="I20" s="9" t="s">
        <v>14</v>
      </c>
      <c r="J20" s="9" t="s">
        <v>14</v>
      </c>
      <c r="K20" s="9" t="s">
        <v>14</v>
      </c>
      <c r="L20" s="20">
        <f>F20</f>
        <v>3669975</v>
      </c>
      <c r="M20" s="17">
        <f>G20</f>
        <v>27194514.75</v>
      </c>
    </row>
    <row r="21" spans="1:13" ht="15" customHeight="1" x14ac:dyDescent="0.25">
      <c r="A21" s="15" t="s">
        <v>31</v>
      </c>
      <c r="B21" s="23" t="s">
        <v>14</v>
      </c>
      <c r="C21" s="18" t="s">
        <v>14</v>
      </c>
      <c r="D21" s="23" t="s">
        <v>14</v>
      </c>
      <c r="E21" s="18" t="s">
        <v>14</v>
      </c>
      <c r="F21" s="23" t="s">
        <v>14</v>
      </c>
      <c r="G21" s="18" t="s">
        <v>14</v>
      </c>
      <c r="H21" s="20">
        <v>2855719</v>
      </c>
      <c r="I21" s="18">
        <f>H21*7.6</f>
        <v>21703464.399999999</v>
      </c>
      <c r="J21" s="9" t="s">
        <v>14</v>
      </c>
      <c r="K21" s="9" t="s">
        <v>14</v>
      </c>
      <c r="L21" s="20">
        <f>H21</f>
        <v>2855719</v>
      </c>
      <c r="M21" s="17">
        <f>I21</f>
        <v>21703464.399999999</v>
      </c>
    </row>
    <row r="22" spans="1:13" ht="15" customHeight="1" x14ac:dyDescent="0.25">
      <c r="A22" s="15" t="s">
        <v>32</v>
      </c>
      <c r="B22" s="23" t="s">
        <v>14</v>
      </c>
      <c r="C22" s="18" t="s">
        <v>14</v>
      </c>
      <c r="D22" s="23" t="s">
        <v>14</v>
      </c>
      <c r="E22" s="18" t="s">
        <v>14</v>
      </c>
      <c r="F22" s="32">
        <v>514819</v>
      </c>
      <c r="G22" s="18">
        <f>F22*7.97</f>
        <v>4103107.4299999997</v>
      </c>
      <c r="H22" s="20">
        <v>2488680</v>
      </c>
      <c r="I22" s="18">
        <f>H22*7.97</f>
        <v>19834779.599999998</v>
      </c>
      <c r="J22" s="9" t="s">
        <v>14</v>
      </c>
      <c r="K22" s="9" t="s">
        <v>14</v>
      </c>
      <c r="L22" s="20">
        <f>F22+H22</f>
        <v>3003499</v>
      </c>
      <c r="M22" s="17">
        <f>I22+G22</f>
        <v>23937887.029999997</v>
      </c>
    </row>
    <row r="23" spans="1:13" ht="15" customHeight="1" x14ac:dyDescent="0.25">
      <c r="A23" s="15" t="s">
        <v>33</v>
      </c>
      <c r="B23" s="23" t="s">
        <v>14</v>
      </c>
      <c r="C23" s="18" t="s">
        <v>14</v>
      </c>
      <c r="D23" s="23" t="s">
        <v>14</v>
      </c>
      <c r="E23" s="18" t="s">
        <v>14</v>
      </c>
      <c r="F23" s="23" t="s">
        <v>14</v>
      </c>
      <c r="G23" s="18" t="s">
        <v>14</v>
      </c>
      <c r="H23" s="20">
        <v>3003499</v>
      </c>
      <c r="I23" s="18">
        <f>H23*9.3</f>
        <v>27932540.700000003</v>
      </c>
      <c r="J23" s="9" t="s">
        <v>14</v>
      </c>
      <c r="K23" s="9" t="s">
        <v>14</v>
      </c>
      <c r="L23" s="20">
        <f>H23</f>
        <v>3003499</v>
      </c>
      <c r="M23" s="17">
        <f>I23</f>
        <v>27932540.700000003</v>
      </c>
    </row>
    <row r="24" spans="1:13" ht="15" customHeight="1" x14ac:dyDescent="0.25">
      <c r="A24" s="15" t="s">
        <v>34</v>
      </c>
      <c r="B24" s="23" t="s">
        <v>14</v>
      </c>
      <c r="C24" s="18" t="s">
        <v>14</v>
      </c>
      <c r="D24" s="23" t="s">
        <v>14</v>
      </c>
      <c r="E24" s="18" t="s">
        <v>14</v>
      </c>
      <c r="F24" s="23" t="s">
        <v>14</v>
      </c>
      <c r="G24" s="18" t="s">
        <v>14</v>
      </c>
      <c r="H24" s="20">
        <v>3574889</v>
      </c>
      <c r="I24" s="18">
        <f>13*H24</f>
        <v>46473557</v>
      </c>
      <c r="J24" s="9" t="s">
        <v>14</v>
      </c>
      <c r="K24" s="9" t="s">
        <v>14</v>
      </c>
      <c r="L24" s="20">
        <f>H24</f>
        <v>3574889</v>
      </c>
      <c r="M24" s="17">
        <f>I24</f>
        <v>46473557</v>
      </c>
    </row>
    <row r="25" spans="1:13" ht="15" customHeight="1" x14ac:dyDescent="0.25">
      <c r="A25" s="15" t="s">
        <v>35</v>
      </c>
      <c r="B25" s="23" t="s">
        <v>14</v>
      </c>
      <c r="C25" s="18" t="s">
        <v>14</v>
      </c>
      <c r="D25" s="23" t="s">
        <v>14</v>
      </c>
      <c r="E25" s="18" t="s">
        <v>14</v>
      </c>
      <c r="F25" s="23" t="s">
        <v>14</v>
      </c>
      <c r="G25" s="18" t="s">
        <v>14</v>
      </c>
      <c r="H25" s="20">
        <v>2700466</v>
      </c>
      <c r="I25" s="18">
        <f>H25*13.5</f>
        <v>36456291</v>
      </c>
      <c r="J25" s="9" t="s">
        <v>14</v>
      </c>
      <c r="K25" s="9" t="s">
        <v>14</v>
      </c>
      <c r="L25" s="20">
        <v>2700466</v>
      </c>
      <c r="M25" s="17">
        <f>I25</f>
        <v>36456291</v>
      </c>
    </row>
    <row r="26" spans="1:13" ht="15" customHeight="1" x14ac:dyDescent="0.25">
      <c r="A26" s="15" t="s">
        <v>36</v>
      </c>
      <c r="B26" s="23" t="s">
        <v>14</v>
      </c>
      <c r="C26" s="18" t="s">
        <v>14</v>
      </c>
      <c r="D26" s="23" t="s">
        <v>14</v>
      </c>
      <c r="E26" s="18" t="s">
        <v>14</v>
      </c>
      <c r="F26" s="23" t="s">
        <v>14</v>
      </c>
      <c r="G26" s="18" t="s">
        <v>14</v>
      </c>
      <c r="H26" s="20">
        <v>2869949</v>
      </c>
      <c r="I26" s="18">
        <f>H26*13.9</f>
        <v>39892291.100000001</v>
      </c>
      <c r="J26" s="9" t="s">
        <v>14</v>
      </c>
      <c r="K26" s="9" t="s">
        <v>14</v>
      </c>
      <c r="L26" s="20">
        <f>H26</f>
        <v>2869949</v>
      </c>
      <c r="M26" s="17">
        <f>I26</f>
        <v>39892291.100000001</v>
      </c>
    </row>
    <row r="27" spans="1:13" ht="15" customHeight="1" x14ac:dyDescent="0.25">
      <c r="A27" s="15" t="s">
        <v>37</v>
      </c>
      <c r="B27" s="23" t="s">
        <v>14</v>
      </c>
      <c r="C27" s="18" t="s">
        <v>14</v>
      </c>
      <c r="D27" s="23" t="s">
        <v>14</v>
      </c>
      <c r="E27" s="18" t="s">
        <v>14</v>
      </c>
      <c r="F27" s="23" t="s">
        <v>14</v>
      </c>
      <c r="G27" s="18" t="s">
        <v>14</v>
      </c>
      <c r="H27" s="1">
        <v>2869949</v>
      </c>
      <c r="I27" s="18">
        <f>H27*13.45</f>
        <v>38600814.049999997</v>
      </c>
      <c r="J27" s="9" t="s">
        <v>14</v>
      </c>
      <c r="K27" s="9" t="s">
        <v>14</v>
      </c>
      <c r="L27" s="1">
        <v>2869949</v>
      </c>
      <c r="M27" s="17">
        <f>L27*13.45</f>
        <v>38600814.049999997</v>
      </c>
    </row>
    <row r="28" spans="1:13" ht="15" customHeight="1" x14ac:dyDescent="0.25">
      <c r="A28" s="15" t="s">
        <v>38</v>
      </c>
      <c r="B28" s="23" t="s">
        <v>14</v>
      </c>
      <c r="C28" s="18" t="s">
        <v>14</v>
      </c>
      <c r="D28" s="23" t="s">
        <v>14</v>
      </c>
      <c r="E28" s="18" t="s">
        <v>14</v>
      </c>
      <c r="F28" s="23" t="s">
        <v>14</v>
      </c>
      <c r="G28" s="18" t="s">
        <v>14</v>
      </c>
      <c r="H28" s="1">
        <v>2869950</v>
      </c>
      <c r="I28" s="18">
        <f>H28*12.99</f>
        <v>37280650.5</v>
      </c>
      <c r="J28" s="9" t="s">
        <v>14</v>
      </c>
      <c r="K28" s="9" t="s">
        <v>14</v>
      </c>
      <c r="L28" s="1">
        <v>2869950</v>
      </c>
      <c r="M28" s="17">
        <f>L28*12.99</f>
        <v>37280650.5</v>
      </c>
    </row>
    <row r="29" spans="1:13" ht="15" customHeight="1" x14ac:dyDescent="0.25">
      <c r="A29" s="15" t="s">
        <v>39</v>
      </c>
      <c r="B29" s="23" t="s">
        <v>14</v>
      </c>
      <c r="C29" s="18" t="s">
        <v>14</v>
      </c>
      <c r="D29" s="23" t="s">
        <v>14</v>
      </c>
      <c r="E29" s="18" t="s">
        <v>14</v>
      </c>
      <c r="F29" s="23" t="s">
        <v>14</v>
      </c>
      <c r="G29" s="18" t="s">
        <v>14</v>
      </c>
      <c r="H29" s="1">
        <v>3009395</v>
      </c>
      <c r="I29" s="18">
        <f>H29*12.5</f>
        <v>37617437.5</v>
      </c>
      <c r="J29" s="9" t="s">
        <v>14</v>
      </c>
      <c r="K29" s="9" t="s">
        <v>14</v>
      </c>
      <c r="L29" s="1">
        <v>3009395</v>
      </c>
      <c r="M29" s="17">
        <f>L29*12.5</f>
        <v>37617437.5</v>
      </c>
    </row>
    <row r="30" spans="1:13" ht="15" customHeight="1" x14ac:dyDescent="0.25">
      <c r="A30" s="15" t="s">
        <v>40</v>
      </c>
      <c r="B30" s="23" t="s">
        <v>14</v>
      </c>
      <c r="C30" s="18" t="s">
        <v>14</v>
      </c>
      <c r="D30" s="23" t="s">
        <v>14</v>
      </c>
      <c r="E30" s="18" t="s">
        <v>14</v>
      </c>
      <c r="F30" s="23" t="s">
        <v>14</v>
      </c>
      <c r="G30" s="18" t="s">
        <v>14</v>
      </c>
      <c r="H30" s="1">
        <v>3491343</v>
      </c>
      <c r="I30" s="18">
        <f>H30*12.73</f>
        <v>44444796.390000001</v>
      </c>
      <c r="J30" s="9" t="s">
        <v>14</v>
      </c>
      <c r="K30" s="9" t="s">
        <v>14</v>
      </c>
      <c r="L30" s="1">
        <v>3491343</v>
      </c>
      <c r="M30" s="17">
        <f>L30*12.73</f>
        <v>44444796.390000001</v>
      </c>
    </row>
    <row r="31" spans="1:13" ht="15" customHeight="1" x14ac:dyDescent="0.25">
      <c r="A31" s="15" t="s">
        <v>41</v>
      </c>
      <c r="B31" s="23" t="s">
        <v>14</v>
      </c>
      <c r="C31" s="18" t="s">
        <v>14</v>
      </c>
      <c r="D31" s="23" t="s">
        <v>14</v>
      </c>
      <c r="E31" s="18" t="s">
        <v>14</v>
      </c>
      <c r="F31" s="23" t="s">
        <v>14</v>
      </c>
      <c r="G31" s="18" t="s">
        <v>14</v>
      </c>
      <c r="H31" s="1">
        <f>3009395+481948</f>
        <v>3491343</v>
      </c>
      <c r="I31" s="18">
        <f>H31*13.85</f>
        <v>48355100.549999997</v>
      </c>
      <c r="J31" s="9" t="s">
        <v>14</v>
      </c>
      <c r="K31" s="9" t="s">
        <v>14</v>
      </c>
      <c r="L31" s="1">
        <f>H31</f>
        <v>3491343</v>
      </c>
      <c r="M31" s="17">
        <f>I31</f>
        <v>48355100.549999997</v>
      </c>
    </row>
    <row r="32" spans="1:13" ht="15" customHeight="1" x14ac:dyDescent="0.25">
      <c r="A32" s="15" t="s">
        <v>42</v>
      </c>
      <c r="B32" s="23" t="s">
        <v>14</v>
      </c>
      <c r="C32" s="18" t="s">
        <v>14</v>
      </c>
      <c r="D32" s="23" t="s">
        <v>14</v>
      </c>
      <c r="E32" s="18" t="s">
        <v>14</v>
      </c>
      <c r="F32" s="23" t="s">
        <v>14</v>
      </c>
      <c r="G32" s="18" t="s">
        <v>14</v>
      </c>
      <c r="H32" s="1">
        <f>3491343+810611</f>
        <v>4301954</v>
      </c>
      <c r="I32" s="18">
        <f>H32*14.88</f>
        <v>64013075.520000003</v>
      </c>
      <c r="J32" s="9" t="s">
        <v>14</v>
      </c>
      <c r="K32" s="9" t="s">
        <v>14</v>
      </c>
      <c r="L32" s="1">
        <f>H32</f>
        <v>4301954</v>
      </c>
      <c r="M32" s="17">
        <f>L32*14.88</f>
        <v>64013075.520000003</v>
      </c>
    </row>
    <row r="33" spans="1:13" ht="15" customHeight="1" x14ac:dyDescent="0.25">
      <c r="A33" s="15" t="s">
        <v>43</v>
      </c>
      <c r="B33" s="23" t="s">
        <v>14</v>
      </c>
      <c r="C33" s="18" t="s">
        <v>14</v>
      </c>
      <c r="D33" s="23" t="s">
        <v>14</v>
      </c>
      <c r="E33" s="18" t="s">
        <v>14</v>
      </c>
      <c r="F33" s="23" t="s">
        <v>14</v>
      </c>
      <c r="G33" s="18" t="s">
        <v>14</v>
      </c>
      <c r="H33" s="18" t="s">
        <v>14</v>
      </c>
      <c r="I33" s="18" t="s">
        <v>14</v>
      </c>
      <c r="J33" s="1">
        <v>4485891</v>
      </c>
      <c r="K33" s="18">
        <f>J33*16</f>
        <v>71774256</v>
      </c>
      <c r="L33" s="1">
        <f>J33</f>
        <v>4485891</v>
      </c>
      <c r="M33" s="17">
        <f>K33</f>
        <v>71774256</v>
      </c>
    </row>
    <row r="34" spans="1:13" ht="15" customHeight="1" x14ac:dyDescent="0.25">
      <c r="A34" s="15" t="s">
        <v>55</v>
      </c>
      <c r="B34" s="23" t="s">
        <v>14</v>
      </c>
      <c r="C34" s="18" t="s">
        <v>14</v>
      </c>
      <c r="D34" s="23" t="s">
        <v>14</v>
      </c>
      <c r="E34" s="18" t="s">
        <v>14</v>
      </c>
      <c r="F34" s="23" t="s">
        <v>14</v>
      </c>
      <c r="G34" s="18" t="s">
        <v>14</v>
      </c>
      <c r="H34" s="1">
        <v>82581</v>
      </c>
      <c r="I34" s="18">
        <f>H34*21.03</f>
        <v>1736678.4300000002</v>
      </c>
      <c r="J34" s="1">
        <v>2901891</v>
      </c>
      <c r="K34" s="18">
        <f>J34*21.03</f>
        <v>61026767.730000004</v>
      </c>
      <c r="L34" s="1">
        <f>H34+J34</f>
        <v>2984472</v>
      </c>
      <c r="M34" s="17">
        <f>I34+K34</f>
        <v>62763446.160000004</v>
      </c>
    </row>
    <row r="35" spans="1:13" ht="15" customHeight="1" x14ac:dyDescent="0.25">
      <c r="A35" s="15" t="s">
        <v>56</v>
      </c>
      <c r="B35" s="23" t="s">
        <v>14</v>
      </c>
      <c r="C35" s="18" t="s">
        <v>14</v>
      </c>
      <c r="D35" s="23" t="s">
        <v>14</v>
      </c>
      <c r="E35" s="18" t="s">
        <v>14</v>
      </c>
      <c r="F35" s="23" t="s">
        <v>14</v>
      </c>
      <c r="G35" s="18" t="s">
        <v>14</v>
      </c>
      <c r="H35" s="1">
        <v>82581</v>
      </c>
      <c r="I35" s="18">
        <f>H35*25.75</f>
        <v>2126460.75</v>
      </c>
      <c r="J35" s="1">
        <v>2901891</v>
      </c>
      <c r="K35" s="18">
        <f>J35*25.75</f>
        <v>74723693.25</v>
      </c>
      <c r="L35" s="1">
        <f>(H35+J35)</f>
        <v>2984472</v>
      </c>
      <c r="M35" s="17">
        <f>25.75*L35</f>
        <v>76850154</v>
      </c>
    </row>
    <row r="36" spans="1:13" ht="15" customHeight="1" x14ac:dyDescent="0.25">
      <c r="A36" s="15" t="s">
        <v>57</v>
      </c>
      <c r="B36" s="23" t="s">
        <v>14</v>
      </c>
      <c r="C36" s="18" t="s">
        <v>14</v>
      </c>
      <c r="D36" s="23" t="s">
        <v>14</v>
      </c>
      <c r="E36" s="18" t="s">
        <v>14</v>
      </c>
      <c r="F36" s="23" t="s">
        <v>14</v>
      </c>
      <c r="G36" s="18" t="s">
        <v>14</v>
      </c>
      <c r="H36" s="1">
        <v>82580</v>
      </c>
      <c r="I36" s="18">
        <f>H36*20.05</f>
        <v>1655729</v>
      </c>
      <c r="J36" s="1">
        <v>2901891</v>
      </c>
      <c r="K36" s="18">
        <f>J36*20.05</f>
        <v>58182914.550000004</v>
      </c>
      <c r="L36" s="1">
        <f>H36+J36</f>
        <v>2984471</v>
      </c>
      <c r="M36" s="17">
        <f>L36*20.05</f>
        <v>59838643.550000004</v>
      </c>
    </row>
    <row r="37" spans="1:13" ht="15" customHeight="1" x14ac:dyDescent="0.25">
      <c r="A37" s="15" t="s">
        <v>58</v>
      </c>
      <c r="B37" s="23" t="s">
        <v>14</v>
      </c>
      <c r="C37" s="18" t="s">
        <v>14</v>
      </c>
      <c r="D37" s="23" t="s">
        <v>14</v>
      </c>
      <c r="E37" s="18" t="s">
        <v>14</v>
      </c>
      <c r="F37" s="23" t="s">
        <v>14</v>
      </c>
      <c r="G37" s="18" t="s">
        <v>14</v>
      </c>
      <c r="H37" s="18" t="s">
        <v>14</v>
      </c>
      <c r="I37" s="18" t="s">
        <v>14</v>
      </c>
      <c r="J37" s="1">
        <v>4260693</v>
      </c>
      <c r="K37" s="18">
        <f>J37*19.76</f>
        <v>84191293.680000007</v>
      </c>
      <c r="L37" s="1">
        <v>4260693</v>
      </c>
      <c r="M37" s="17">
        <f>K37</f>
        <v>84191293.680000007</v>
      </c>
    </row>
    <row r="38" spans="1:13" ht="15" customHeight="1" x14ac:dyDescent="0.25">
      <c r="A38" s="5" t="s">
        <v>44</v>
      </c>
      <c r="B38" s="3">
        <f>SUM(B3:B15)</f>
        <v>46266477</v>
      </c>
      <c r="C38" s="6">
        <f>SUM(C3:C15)</f>
        <v>108815376.34999999</v>
      </c>
      <c r="D38" s="3">
        <f>SUM(D4:D12)</f>
        <v>2217293</v>
      </c>
      <c r="E38" s="6">
        <f>SUM(E4:E12)</f>
        <v>4529174.919999999</v>
      </c>
      <c r="F38" s="21">
        <f>SUM(F2:F22)</f>
        <v>15194722</v>
      </c>
      <c r="G38" s="6">
        <f>SUM(G2:G22)</f>
        <v>98164584.900000006</v>
      </c>
      <c r="H38" s="21">
        <f t="shared" ref="H38:I38" si="2">SUM(H2:H36)</f>
        <v>37774878</v>
      </c>
      <c r="I38" s="6">
        <f t="shared" si="2"/>
        <v>468123666.48999995</v>
      </c>
      <c r="J38" s="21">
        <f>SUM(J2:J37)</f>
        <v>17452257</v>
      </c>
      <c r="K38" s="6">
        <f>SUM(K2:K37)</f>
        <v>349898925.21000004</v>
      </c>
      <c r="L38" s="21">
        <f>SUM(L2:L37)</f>
        <v>118905627</v>
      </c>
      <c r="M38" s="6">
        <f>SUM(M2:M37)</f>
        <v>1029531727.8699999</v>
      </c>
    </row>
    <row r="39" spans="1:13" x14ac:dyDescent="0.25">
      <c r="F39" s="22"/>
    </row>
    <row r="40" spans="1:13" x14ac:dyDescent="0.25">
      <c r="B40" s="11" t="s">
        <v>54</v>
      </c>
      <c r="F40" s="22"/>
      <c r="M40" s="8"/>
    </row>
    <row r="41" spans="1:13" ht="36" customHeight="1" x14ac:dyDescent="0.25">
      <c r="B41" s="12" t="s">
        <v>45</v>
      </c>
      <c r="C41" s="12" t="s">
        <v>46</v>
      </c>
      <c r="D41" s="12" t="s">
        <v>47</v>
      </c>
      <c r="E41" s="12" t="s">
        <v>48</v>
      </c>
      <c r="F41" s="12" t="s">
        <v>49</v>
      </c>
      <c r="G41" s="12" t="s">
        <v>50</v>
      </c>
      <c r="H41" s="12" t="s">
        <v>51</v>
      </c>
      <c r="I41" s="12" t="s">
        <v>52</v>
      </c>
      <c r="K41" s="7"/>
      <c r="L41" s="7"/>
      <c r="M41" s="8"/>
    </row>
    <row r="42" spans="1:13" x14ac:dyDescent="0.25">
      <c r="B42" s="1">
        <v>5655178</v>
      </c>
      <c r="C42" s="2">
        <f>B42*2</f>
        <v>11310356</v>
      </c>
      <c r="D42" s="13">
        <v>1474438</v>
      </c>
      <c r="E42" s="9">
        <f>D42*2</f>
        <v>2948876</v>
      </c>
      <c r="F42" s="13">
        <f>501280+1388366</f>
        <v>1889646</v>
      </c>
      <c r="G42" s="9">
        <f>F42*2</f>
        <v>3779292</v>
      </c>
      <c r="H42" s="31">
        <f>B42+D42+F42</f>
        <v>9019262</v>
      </c>
      <c r="I42" s="6">
        <f>C42+E42+G42</f>
        <v>18038524</v>
      </c>
      <c r="J42" s="33"/>
      <c r="K42" s="7"/>
      <c r="L42" s="8"/>
    </row>
  </sheetData>
  <phoneticPr fontId="7" type="noConversion"/>
  <pageMargins left="0.7" right="0.7" top="1.73" bottom="0.75" header="1" footer="0.3"/>
  <pageSetup scale="66" orientation="landscape" horizontalDpi="1200" verticalDpi="1200" r:id="rId1"/>
  <headerFooter>
    <oddHeader>&amp;L&amp;G&amp;C&amp;"Arial,Bold"&amp;12NJ Proceeds by Auction</oddHeader>
  </headerFooter>
  <legacyDrawingHF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D254660-3FC0-45C1-8580-7AFA361E20B3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97F072C-411B-486E-97E4-70A4E78108D3}">
  <dimension ref="A1"/>
  <sheetViews>
    <sheetView topLeftCell="A19" workbookViewId="0">
      <selection activeCell="L9" sqref="L9"/>
    </sheetView>
  </sheetViews>
  <sheetFormatPr defaultRowHeight="15" x14ac:dyDescent="0.2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aa8c2454-fb4d-4b62-ad7a-49dc1110c5cd" xsi:nil="true"/>
    <lcf76f155ced4ddcb4097134ff3c332f xmlns="7684b01a-921a-443e-89fe-68e2f8c1c9cd">
      <Terms xmlns="http://schemas.microsoft.com/office/infopath/2007/PartnerControls"/>
    </lcf76f155ced4ddcb4097134ff3c332f>
  </documentManagement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DA45BA59E3BDC04EB674E52D4F8AD88A" ma:contentTypeVersion="18" ma:contentTypeDescription="Create a new document." ma:contentTypeScope="" ma:versionID="ab009ff54fdcd11c96ff10665e4a3d27">
  <xsd:schema xmlns:xsd="http://www.w3.org/2001/XMLSchema" xmlns:xs="http://www.w3.org/2001/XMLSchema" xmlns:p="http://schemas.microsoft.com/office/2006/metadata/properties" xmlns:ns2="7684b01a-921a-443e-89fe-68e2f8c1c9cd" xmlns:ns3="aa8c2454-fb4d-4b62-ad7a-49dc1110c5cd" targetNamespace="http://schemas.microsoft.com/office/2006/metadata/properties" ma:root="true" ma:fieldsID="21d57e88c7792c09a255352e501f129f" ns2:_="" ns3:_="">
    <xsd:import namespace="7684b01a-921a-443e-89fe-68e2f8c1c9cd"/>
    <xsd:import namespace="aa8c2454-fb4d-4b62-ad7a-49dc1110c5cd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MediaLengthInSeconds" minOccurs="0"/>
                <xsd:element ref="ns2:MediaServiceObjectDetectorVersions" minOccurs="0"/>
                <xsd:element ref="ns2:MediaServiceSearchProperties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684b01a-921a-443e-89fe-68e2f8c1c9cd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5" nillable="true" ma:displayName="Location" ma:internalName="MediaServiceLocation" ma:readOnly="true">
      <xsd:simpleType>
        <xsd:restriction base="dms:Text"/>
      </xsd:simpleType>
    </xsd:element>
    <xsd:element name="MediaServiceAutoKeyPoints" ma:index="16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7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18" nillable="true" ma:displayName="Length (seconds)" ma:internalName="MediaLengthInSeconds" ma:readOnly="true">
      <xsd:simpleType>
        <xsd:restriction base="dms:Unknown"/>
      </xsd:simpleType>
    </xsd:element>
    <xsd:element name="MediaServiceObjectDetectorVersions" ma:index="19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lcf76f155ced4ddcb4097134ff3c332f" ma:index="24" nillable="true" ma:taxonomy="true" ma:internalName="lcf76f155ced4ddcb4097134ff3c332f" ma:taxonomyFieldName="MediaServiceImageTags" ma:displayName="Image Tags" ma:readOnly="false" ma:fieldId="{5cf76f15-5ced-4ddc-b409-7134ff3c332f}" ma:taxonomyMulti="true" ma:sspId="892b536b-3f80-45fa-a789-e2240a330ca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a8c2454-fb4d-4b62-ad7a-49dc1110c5cd" elementFormDefault="qualified">
    <xsd:import namespace="http://schemas.microsoft.com/office/2006/documentManagement/types"/>
    <xsd:import namespace="http://schemas.microsoft.com/office/infopath/2007/PartnerControls"/>
    <xsd:element name="SharedWithUsers" ma:index="21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22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5" nillable="true" ma:displayName="Taxonomy Catch All Column" ma:hidden="true" ma:list="{46534257-e2e1-46b5-baf1-2ed0943ee228}" ma:internalName="TaxCatchAll" ma:showField="CatchAllData" ma:web="aa8c2454-fb4d-4b62-ad7a-49dc1110c5cd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00B64A6B-8C86-444C-88D8-FED0E042BF89}">
  <ds:schemaRefs>
    <ds:schemaRef ds:uri="http://schemas.microsoft.com/office/2006/metadata/properties"/>
    <ds:schemaRef ds:uri="http://schemas.microsoft.com/office/infopath/2007/PartnerControls"/>
  </ds:schemaRefs>
</ds:datastoreItem>
</file>

<file path=customXml/itemProps2.xml><?xml version="1.0" encoding="utf-8"?>
<ds:datastoreItem xmlns:ds="http://schemas.openxmlformats.org/officeDocument/2006/customXml" ds:itemID="{1EBEC3A3-3942-4011-8233-A11D1E8ECC79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62508BB8-A7F8-484D-9437-F20892EB893B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State Chart-NJ</vt:lpstr>
      <vt:lpstr>Sheet1</vt:lpstr>
      <vt:lpstr>Sheet2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RGGI-LD</dc:creator>
  <cp:keywords/>
  <dc:description/>
  <cp:lastModifiedBy>Lei Pei</cp:lastModifiedBy>
  <cp:revision/>
  <dcterms:created xsi:type="dcterms:W3CDTF">2009-12-02T21:11:45Z</dcterms:created>
  <dcterms:modified xsi:type="dcterms:W3CDTF">2025-03-12T21:10:43Z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0x010100DA45BA59E3BDC04EB674E52D4F8AD88A</vt:lpwstr>
  </property>
  <property fmtid="{D5CDD505-2E9C-101B-9397-08002B2CF9AE}" pid="3" name="Order">
    <vt:r8>25400</vt:r8>
  </property>
</Properties>
</file>